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GA_NEW_V" sheetId="3" r:id="rId3"/>
    <sheet name="GA_NEW_V_PC" sheetId="4" r:id="rId4"/>
    <sheet name="GA_NEW_R" sheetId="5" r:id="rId5"/>
    <sheet name="GA_NEW_R_PC" sheetId="6" r:id="rId6"/>
    <sheet name="GA_NEW_L" sheetId="7" r:id="rId7"/>
    <sheet name="GA_NEW_L_PC" sheetId="8" r:id="rId8"/>
    <sheet name="GA_NEW_D" sheetId="9" r:id="rId9"/>
    <sheet name="GA_NEW_D_PC" sheetId="10" r:id="rId10"/>
    <sheet name="GA_NEW_O" sheetId="11" r:id="rId11"/>
    <sheet name="GA_NEW_O_PC" sheetId="12" r:id="rId12"/>
    <sheet name="GA_NEW_T" sheetId="13" r:id="rId13"/>
    <sheet name="GA_NEW_T_PC" sheetId="14" r:id="rId14"/>
    <sheet name="GA_NEW_%" sheetId="15" r:id="rId15"/>
    <sheet name="GA_NEW_BNH_%" sheetId="16" r:id="rId16"/>
    <sheet name="GA_NEW_WNH_%" sheetId="17" r:id="rId17"/>
    <sheet name="GA_ADMIT_%" sheetId="18" r:id="rId18"/>
    <sheet name="GA_ADMIT_N" sheetId="19" r:id="rId19"/>
    <sheet name="GA_RACE_TOT" sheetId="20" r:id="rId20"/>
    <sheet name="GA_RACE_TOT_D" sheetId="21" r:id="rId21"/>
    <sheet name="GA_RACE_TOT_PC" sheetId="22" r:id="rId22"/>
    <sheet name="GA_RACE_TOT_PC_D" sheetId="23" r:id="rId23"/>
    <sheet name="GA_RACE_NEW" sheetId="24" r:id="rId24"/>
    <sheet name="GA_RACE_NEW_D" sheetId="25" r:id="rId25"/>
    <sheet name="GA_RACE_NEW_PC" sheetId="26" r:id="rId26"/>
    <sheet name="GA_RACE_NEW_PC_D" sheetId="27" r:id="rId27"/>
    <sheet name="GA_RACE_PP" sheetId="28" r:id="rId28"/>
    <sheet name="GA_RACE_PP_D" sheetId="29" r:id="rId29"/>
    <sheet name="GA_RACE_PP_PC" sheetId="30" r:id="rId30"/>
    <sheet name="GA_RACE_PP_PC_D" sheetId="31" r:id="rId31"/>
    <sheet name="GA_RACE_OTHER" sheetId="32" r:id="rId32"/>
    <sheet name="GA_RACE_OTHER_D" sheetId="33" r:id="rId33"/>
    <sheet name="GA_RACE_OTHER_PC" sheetId="34" r:id="rId34"/>
    <sheet name="GA_RACE_OTH_PC_D" sheetId="35" r:id="rId35"/>
    <sheet name="GA_RACE_PP+OTH" sheetId="36" r:id="rId36"/>
    <sheet name="GA_RACE_PP+OTH_D" sheetId="37" r:id="rId37"/>
    <sheet name="GA_RACE_PP+OTH_PC" sheetId="38" r:id="rId38"/>
    <sheet name="GA_RACE_PP+OTH_PC_D" sheetId="39" r:id="rId39"/>
    <sheet name="GA_RACE_%_TOT" sheetId="40" r:id="rId40"/>
    <sheet name="GA_RACEBAL_%_TOT" sheetId="41" r:id="rId41"/>
    <sheet name="GA_RACEBAL_TOT" sheetId="42" r:id="rId42"/>
    <sheet name="CO_RACEBAL_TOT_PC" sheetId="43" r:id="rId43"/>
    <sheet name="GA_RACEBAL_%_NEW" sheetId="44" r:id="rId44"/>
    <sheet name="GA_RACEBAL_NEW" sheetId="45" r:id="rId45"/>
    <sheet name="GA_RACEBAL_NEW_GA" sheetId="46" r:id="rId46"/>
    <sheet name="GA_Data1" sheetId="47" r:id="rId47"/>
    <sheet name="GA_Data2" sheetId="48" r:id="rId48"/>
    <sheet name="GA_Data3" sheetId="49" r:id="rId49"/>
    <sheet name="GA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<sst xmlns="http://schemas.openxmlformats.org/spreadsheetml/2006/main" count="728" uniqueCount="38">
  <si>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</si>
  <si>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</si>
  <si>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</si>
  <si>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</si>
  <si>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</si>
  <si>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</si>
  <si>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</si>
  <si>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</si>
  <si>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</si>
  <si>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</si>
  <si>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</si>
  <si>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</si>
  <si>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</si>
  <si>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</si>
  <si>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</si>
  <si>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</si>
  <si>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</si>
  <si>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</si>
  <si>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</si>
  <si>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</si>
  <si>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</si>
  <si>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</si>
  <si>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</si>
  <si>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</si>
  <si>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</si>
  <si>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</si>
  <si>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</si>
  <si>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</si>
  <si>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</si>
  <si>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</si>
  <si>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</si>
  <si>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</si>
  <si>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</si>
  <si>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</si>
  <si>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</si>
  <si>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</si>
  <si>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</si>
  <si>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GEORGIA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</si>
</sst>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GA_Data2!$AA$110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GA_Data2!$AA$111:$AA$127</c:f>
              <c:numCache>
                <c:ptCount val="17"/>
                <c:pt idx="0">
                  <c:v>70.98332060114548</c:v>
                </c:pt>
                <c:pt idx="1">
                  <c:v>70.85789076261337</c:v>
                </c:pt>
                <c:pt idx="2">
                  <c:v>70.74466229592217</c:v>
                </c:pt>
                <c:pt idx="3">
                  <c:v>70.67937664943318</c:v>
                </c:pt>
                <c:pt idx="4">
                  <c:v>70.60075232560874</c:v>
                </c:pt>
                <c:pt idx="5">
                  <c:v>70.4591854263419</c:v>
                </c:pt>
                <c:pt idx="6">
                  <c:v>70.286545702298</c:v>
                </c:pt>
                <c:pt idx="7">
                  <c:v>70.09864396250475</c:v>
                </c:pt>
                <c:pt idx="8">
                  <c:v>69.71659100907846</c:v>
                </c:pt>
                <c:pt idx="9">
                  <c:v>69.33745140524248</c:v>
                </c:pt>
                <c:pt idx="10">
                  <c:v>68.9279458411637</c:v>
                </c:pt>
                <c:pt idx="11">
                  <c:v>68.5020082601229</c:v>
                </c:pt>
                <c:pt idx="12">
                  <c:v>68.0682358499044</c:v>
                </c:pt>
                <c:pt idx="13">
                  <c:v>67.62293846683647</c:v>
                </c:pt>
                <c:pt idx="14">
                  <c:v>67.1460043114607</c:v>
                </c:pt>
                <c:pt idx="15">
                  <c:v>66.72503529748228</c:v>
                </c:pt>
                <c:pt idx="16">
                  <c:v>66.28543804505253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GA_Data2!$AB$111:$AB$127</c:f>
              <c:numCache>
                <c:ptCount val="17"/>
                <c:pt idx="0">
                  <c:v>26.877113205676274</c:v>
                </c:pt>
                <c:pt idx="1">
                  <c:v>26.870560596624284</c:v>
                </c:pt>
                <c:pt idx="2">
                  <c:v>26.84690565108686</c:v>
                </c:pt>
                <c:pt idx="3">
                  <c:v>26.780829054544654</c:v>
                </c:pt>
                <c:pt idx="4">
                  <c:v>26.735230930845898</c:v>
                </c:pt>
                <c:pt idx="5">
                  <c:v>26.7455573898267</c:v>
                </c:pt>
                <c:pt idx="6">
                  <c:v>26.790721513926886</c:v>
                </c:pt>
                <c:pt idx="7">
                  <c:v>26.862332631628128</c:v>
                </c:pt>
                <c:pt idx="8">
                  <c:v>27.075947109312263</c:v>
                </c:pt>
                <c:pt idx="9">
                  <c:v>27.24390980718322</c:v>
                </c:pt>
                <c:pt idx="10">
                  <c:v>27.46219516652809</c:v>
                </c:pt>
                <c:pt idx="11">
                  <c:v>27.661519465220906</c:v>
                </c:pt>
                <c:pt idx="12">
                  <c:v>27.795095470038554</c:v>
                </c:pt>
                <c:pt idx="13">
                  <c:v>27.96078952841736</c:v>
                </c:pt>
                <c:pt idx="14">
                  <c:v>28.125174490194755</c:v>
                </c:pt>
                <c:pt idx="15">
                  <c:v>28.290129983256772</c:v>
                </c:pt>
                <c:pt idx="16">
                  <c:v>28.445900485860733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GA_Data2!$AF$111:$AF$127</c:f>
              <c:numCache>
                <c:ptCount val="17"/>
                <c:pt idx="0">
                  <c:v>2.139566193178247</c:v>
                </c:pt>
                <c:pt idx="1">
                  <c:v>2.271548640762351</c:v>
                </c:pt>
                <c:pt idx="2">
                  <c:v>2.408432052990971</c:v>
                </c:pt>
                <c:pt idx="3">
                  <c:v>2.5397942960221656</c:v>
                </c:pt>
                <c:pt idx="4">
                  <c:v>2.664016743545364</c:v>
                </c:pt>
                <c:pt idx="5">
                  <c:v>2.7952571838313958</c:v>
                </c:pt>
                <c:pt idx="6">
                  <c:v>2.922732783775114</c:v>
                </c:pt>
                <c:pt idx="7">
                  <c:v>3.0390234058671197</c:v>
                </c:pt>
                <c:pt idx="8">
                  <c:v>3.20746188160928</c:v>
                </c:pt>
                <c:pt idx="9">
                  <c:v>3.418638787574306</c:v>
                </c:pt>
                <c:pt idx="10">
                  <c:v>3.6098589923082045</c:v>
                </c:pt>
                <c:pt idx="11">
                  <c:v>3.836472274656188</c:v>
                </c:pt>
                <c:pt idx="12">
                  <c:v>4.136668680057049</c:v>
                </c:pt>
                <c:pt idx="13">
                  <c:v>4.416272004746165</c:v>
                </c:pt>
                <c:pt idx="14">
                  <c:v>4.728821198344544</c:v>
                </c:pt>
                <c:pt idx="15">
                  <c:v>4.984834719260949</c:v>
                </c:pt>
                <c:pt idx="16">
                  <c:v>5.268661469086737</c:v>
                </c:pt>
              </c:numCache>
            </c:numRef>
          </c:yVal>
          <c:smooth val="0"/>
        </c:ser>
        <c:axId val="5613135"/>
        <c:axId val="50518216"/>
      </c:scatterChart>
      <c:scatterChart>
        <c:scatterStyle val="lineMarker"/>
        <c:varyColors val="0"/>
        <c:ser>
          <c:idx val="0"/>
          <c:order val="0"/>
          <c:tx>
            <c:strRef>
              <c:f>GA_Data2!$AG$110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GA_Data2!$AG$111:$AG$127</c:f>
              <c:numCache>
                <c:ptCount val="17"/>
                <c:pt idx="0">
                  <c:v>0.37863984071270046</c:v>
                </c:pt>
                <c:pt idx="1">
                  <c:v>0.37921761863679343</c:v>
                </c:pt>
                <c:pt idx="2">
                  <c:v>0.37949019445152343</c:v>
                </c:pt>
                <c:pt idx="3">
                  <c:v>0.37890584671362443</c:v>
                </c:pt>
                <c:pt idx="4">
                  <c:v>0.37868195522256964</c:v>
                </c:pt>
                <c:pt idx="5">
                  <c:v>0.37958936408350236</c:v>
                </c:pt>
                <c:pt idx="6">
                  <c:v>0.3811642931977374</c:v>
                </c:pt>
                <c:pt idx="7">
                  <c:v>0.3832075930883426</c:v>
                </c:pt>
                <c:pt idx="8">
                  <c:v>0.38837164464605634</c:v>
                </c:pt>
                <c:pt idx="9">
                  <c:v>0.39291766938412964</c:v>
                </c:pt>
                <c:pt idx="10">
                  <c:v>0.39841888266642195</c:v>
                </c:pt>
                <c:pt idx="11">
                  <c:v>0.40380596376359834</c:v>
                </c:pt>
                <c:pt idx="12">
                  <c:v>0.4083416460407295</c:v>
                </c:pt>
                <c:pt idx="13">
                  <c:v>0.4134808418910965</c:v>
                </c:pt>
                <c:pt idx="14">
                  <c:v>0.41886594412579603</c:v>
                </c:pt>
                <c:pt idx="15">
                  <c:v>0.42398074211770764</c:v>
                </c:pt>
                <c:pt idx="16">
                  <c:v>0.42914252850719303</c:v>
                </c:pt>
              </c:numCache>
            </c:numRef>
          </c:yVal>
          <c:smooth val="0"/>
        </c:ser>
        <c:axId val="52010761"/>
        <c:axId val="65443666"/>
      </c:scatterChart>
      <c:valAx>
        <c:axId val="561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 val="autoZero"/>
        <c:crossBetween val="midCat"/>
        <c:dispUnits/>
        <c:majorUnit val="1"/>
      </c:valAx>
      <c:valAx>
        <c:axId val="505182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613135"/>
        <c:crosses val="autoZero"/>
        <c:crossBetween val="midCat"/>
        <c:dispUnits/>
        <c:majorUnit val="10"/>
      </c:valAx>
      <c:valAx>
        <c:axId val="52010761"/>
        <c:scaling>
          <c:orientation val="minMax"/>
        </c:scaling>
        <c:axPos val="b"/>
        <c:delete val="1"/>
        <c:majorTickMark val="in"/>
        <c:minorTickMark val="none"/>
        <c:tickLblPos val="nextTo"/>
        <c:crossAx val="65443666"/>
        <c:crosses val="max"/>
        <c:crossBetween val="midCat"/>
        <c:dispUnits/>
      </c:valAx>
      <c:valAx>
        <c:axId val="65443666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010761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GA_Data3!$L$65:$L$81</c:f>
              <c:numCache>
                <c:ptCount val="17"/>
                <c:pt idx="0">
                  <c:v>15.145112253945184</c:v>
                </c:pt>
                <c:pt idx="1">
                  <c:v>19.23265174504644</c:v>
                </c:pt>
                <c:pt idx="5">
                  <c:v>31.355780953268567</c:v>
                </c:pt>
                <c:pt idx="6">
                  <c:v>24.005016558562442</c:v>
                </c:pt>
                <c:pt idx="7">
                  <c:v>23.32696529682626</c:v>
                </c:pt>
                <c:pt idx="8">
                  <c:v>18.95468944179546</c:v>
                </c:pt>
                <c:pt idx="9">
                  <c:v>16.191074831909656</c:v>
                </c:pt>
                <c:pt idx="10">
                  <c:v>13.501154436374144</c:v>
                </c:pt>
                <c:pt idx="11">
                  <c:v>14.831073050398933</c:v>
                </c:pt>
                <c:pt idx="12">
                  <c:v>17.127359041835085</c:v>
                </c:pt>
                <c:pt idx="13">
                  <c:v>13.216538780133297</c:v>
                </c:pt>
                <c:pt idx="15">
                  <c:v>14.313715004647955</c:v>
                </c:pt>
                <c:pt idx="16">
                  <c:v>19.513226820489642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GA_Data3!$M$65:$M$81</c:f>
              <c:numCache>
                <c:ptCount val="17"/>
                <c:pt idx="0">
                  <c:v>297.0947811226502</c:v>
                </c:pt>
                <c:pt idx="1">
                  <c:v>467.64993062336197</c:v>
                </c:pt>
                <c:pt idx="5">
                  <c:v>1698.068208919628</c:v>
                </c:pt>
                <c:pt idx="6">
                  <c:v>1655.0954136952266</c:v>
                </c:pt>
                <c:pt idx="7">
                  <c:v>1893.267435645175</c:v>
                </c:pt>
                <c:pt idx="8">
                  <c:v>1517.989453809642</c:v>
                </c:pt>
                <c:pt idx="9">
                  <c:v>1399.3620018833353</c:v>
                </c:pt>
                <c:pt idx="10">
                  <c:v>1168.4048579551497</c:v>
                </c:pt>
                <c:pt idx="11">
                  <c:v>1204.2425966134147</c:v>
                </c:pt>
                <c:pt idx="12">
                  <c:v>1291.3562664329536</c:v>
                </c:pt>
                <c:pt idx="13">
                  <c:v>862.1562000364291</c:v>
                </c:pt>
                <c:pt idx="15">
                  <c:v>759.3053714063966</c:v>
                </c:pt>
                <c:pt idx="16">
                  <c:v>1187.983094086738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GA_Data3!$N$65:$N$81</c:f>
              <c:numCache>
                <c:ptCount val="17"/>
                <c:pt idx="0">
                  <c:v>27.079200354923</c:v>
                </c:pt>
                <c:pt idx="1">
                  <c:v>38.46861831525088</c:v>
                </c:pt>
                <c:pt idx="5">
                  <c:v>106.87967193308114</c:v>
                </c:pt>
                <c:pt idx="6">
                  <c:v>98.60489536265707</c:v>
                </c:pt>
                <c:pt idx="7">
                  <c:v>109.6750492124752</c:v>
                </c:pt>
                <c:pt idx="8">
                  <c:v>89.00859818840084</c:v>
                </c:pt>
                <c:pt idx="9">
                  <c:v>81.16448925007715</c:v>
                </c:pt>
                <c:pt idx="10">
                  <c:v>67.93298926872626</c:v>
                </c:pt>
                <c:pt idx="11">
                  <c:v>70.79667970426637</c:v>
                </c:pt>
                <c:pt idx="12">
                  <c:v>76.70292662001319</c:v>
                </c:pt>
                <c:pt idx="13">
                  <c:v>52.8546553674879</c:v>
                </c:pt>
                <c:pt idx="15">
                  <c:v>49.45851922230827</c:v>
                </c:pt>
                <c:pt idx="16">
                  <c:v>74.72465523807239</c:v>
                </c:pt>
              </c:numCache>
            </c:numRef>
          </c:yVal>
          <c:smooth val="1"/>
        </c:ser>
        <c:axId val="60309979"/>
        <c:axId val="5918900"/>
      </c:scatterChart>
      <c:valAx>
        <c:axId val="6030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18900"/>
        <c:crossesAt val="0"/>
        <c:crossBetween val="midCat"/>
        <c:dispUnits/>
        <c:majorUnit val="1"/>
      </c:valAx>
      <c:valAx>
        <c:axId val="591890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309979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GA_Data1!$N$5:$N$21</c:f>
              <c:numCache>
                <c:ptCount val="17"/>
                <c:pt idx="0">
                  <c:v>389</c:v>
                </c:pt>
                <c:pt idx="1">
                  <c:v>755</c:v>
                </c:pt>
                <c:pt idx="4">
                  <c:v>3450</c:v>
                </c:pt>
                <c:pt idx="5">
                  <c:v>2509</c:v>
                </c:pt>
                <c:pt idx="6">
                  <c:v>613</c:v>
                </c:pt>
                <c:pt idx="7">
                  <c:v>615</c:v>
                </c:pt>
                <c:pt idx="8">
                  <c:v>618</c:v>
                </c:pt>
                <c:pt idx="9">
                  <c:v>598</c:v>
                </c:pt>
                <c:pt idx="10">
                  <c:v>581</c:v>
                </c:pt>
                <c:pt idx="11">
                  <c:v>591</c:v>
                </c:pt>
                <c:pt idx="12">
                  <c:v>718</c:v>
                </c:pt>
                <c:pt idx="13">
                  <c:v>409</c:v>
                </c:pt>
                <c:pt idx="15">
                  <c:v>408</c:v>
                </c:pt>
                <c:pt idx="16">
                  <c:v>590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GA_Data1!$O$5:$O$21</c:f>
              <c:numCache>
                <c:ptCount val="17"/>
                <c:pt idx="0">
                  <c:v>276</c:v>
                </c:pt>
                <c:pt idx="1">
                  <c:v>579</c:v>
                </c:pt>
                <c:pt idx="4">
                  <c:v>4839</c:v>
                </c:pt>
                <c:pt idx="5">
                  <c:v>3185</c:v>
                </c:pt>
                <c:pt idx="6">
                  <c:v>564</c:v>
                </c:pt>
                <c:pt idx="7">
                  <c:v>612</c:v>
                </c:pt>
                <c:pt idx="8">
                  <c:v>508</c:v>
                </c:pt>
                <c:pt idx="9">
                  <c:v>567</c:v>
                </c:pt>
                <c:pt idx="10">
                  <c:v>500</c:v>
                </c:pt>
                <c:pt idx="11">
                  <c:v>497</c:v>
                </c:pt>
                <c:pt idx="12">
                  <c:v>610</c:v>
                </c:pt>
                <c:pt idx="13">
                  <c:v>349</c:v>
                </c:pt>
                <c:pt idx="15">
                  <c:v>356</c:v>
                </c:pt>
                <c:pt idx="16">
                  <c:v>533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GA_Data1!$P$5:$P$21</c:f>
              <c:numCache>
                <c:ptCount val="17"/>
                <c:pt idx="0">
                  <c:v>665</c:v>
                </c:pt>
                <c:pt idx="1">
                  <c:v>1334</c:v>
                </c:pt>
                <c:pt idx="4">
                  <c:v>8289</c:v>
                </c:pt>
                <c:pt idx="5">
                  <c:v>5694</c:v>
                </c:pt>
                <c:pt idx="6">
                  <c:v>1177</c:v>
                </c:pt>
                <c:pt idx="7">
                  <c:v>1227</c:v>
                </c:pt>
                <c:pt idx="8">
                  <c:v>1126</c:v>
                </c:pt>
                <c:pt idx="9">
                  <c:v>1165</c:v>
                </c:pt>
                <c:pt idx="10">
                  <c:v>1081</c:v>
                </c:pt>
                <c:pt idx="11">
                  <c:v>1088</c:v>
                </c:pt>
                <c:pt idx="12">
                  <c:v>1328</c:v>
                </c:pt>
                <c:pt idx="13">
                  <c:v>758</c:v>
                </c:pt>
                <c:pt idx="15">
                  <c:v>764</c:v>
                </c:pt>
                <c:pt idx="16">
                  <c:v>1123</c:v>
                </c:pt>
              </c:numCache>
            </c:numRef>
          </c:yVal>
          <c:smooth val="1"/>
        </c:ser>
        <c:axId val="53270101"/>
        <c:axId val="9668862"/>
      </c:scatterChart>
      <c:scatterChart>
        <c:scatterStyle val="lineMarker"/>
        <c:varyColors val="0"/>
        <c:ser>
          <c:idx val="5"/>
          <c:order val="3"/>
          <c:tx>
            <c:strRef>
              <c:f>GA_Data1!$A$23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GA_Data1!$O$28:$O$44</c:f>
              <c:numCache>
                <c:ptCount val="17"/>
                <c:pt idx="0">
                  <c:v>41.50375939849624</c:v>
                </c:pt>
                <c:pt idx="1">
                  <c:v>43.403298350824585</c:v>
                </c:pt>
                <c:pt idx="4">
                  <c:v>58.37857401375317</c:v>
                </c:pt>
                <c:pt idx="5">
                  <c:v>55.93607305936074</c:v>
                </c:pt>
                <c:pt idx="6">
                  <c:v>47.91843670348343</c:v>
                </c:pt>
                <c:pt idx="7">
                  <c:v>49.877750611246945</c:v>
                </c:pt>
                <c:pt idx="8">
                  <c:v>45.11545293072824</c:v>
                </c:pt>
                <c:pt idx="9">
                  <c:v>48.66952789699571</c:v>
                </c:pt>
                <c:pt idx="10">
                  <c:v>46.25346901017576</c:v>
                </c:pt>
                <c:pt idx="11">
                  <c:v>45.68014705882353</c:v>
                </c:pt>
                <c:pt idx="12">
                  <c:v>45.933734939759034</c:v>
                </c:pt>
                <c:pt idx="13">
                  <c:v>46.04221635883905</c:v>
                </c:pt>
                <c:pt idx="15">
                  <c:v>46.596858638743456</c:v>
                </c:pt>
                <c:pt idx="16">
                  <c:v>47.46215494211932</c:v>
                </c:pt>
              </c:numCache>
            </c:numRef>
          </c:yVal>
          <c:smooth val="0"/>
        </c:ser>
        <c:axId val="19910895"/>
        <c:axId val="44980328"/>
      </c:scatterChart>
      <c:valAx>
        <c:axId val="5327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668862"/>
        <c:crossesAt val="0"/>
        <c:crossBetween val="midCat"/>
        <c:dispUnits/>
        <c:majorUnit val="1"/>
      </c:valAx>
      <c:valAx>
        <c:axId val="9668862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70101"/>
        <c:crosses val="autoZero"/>
        <c:crossBetween val="midCat"/>
        <c:dispUnits/>
        <c:majorUnit val="1000"/>
      </c:valAx>
      <c:valAx>
        <c:axId val="19910895"/>
        <c:scaling>
          <c:orientation val="minMax"/>
        </c:scaling>
        <c:axPos val="b"/>
        <c:delete val="1"/>
        <c:majorTickMark val="in"/>
        <c:minorTickMark val="none"/>
        <c:tickLblPos val="nextTo"/>
        <c:crossAx val="44980328"/>
        <c:crosses val="max"/>
        <c:crossBetween val="midCat"/>
        <c:dispUnits/>
      </c:valAx>
      <c:valAx>
        <c:axId val="4498032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9108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GA_Data3!$L$85:$L$101</c:f>
              <c:numCache>
                <c:ptCount val="17"/>
                <c:pt idx="0">
                  <c:v>15.067643649065669</c:v>
                </c:pt>
                <c:pt idx="1">
                  <c:v>28.98333746009992</c:v>
                </c:pt>
                <c:pt idx="4">
                  <c:v>129.85937547050497</c:v>
                </c:pt>
                <c:pt idx="5">
                  <c:v>94.6710642740684</c:v>
                </c:pt>
                <c:pt idx="6">
                  <c:v>23.1005889331221</c:v>
                </c:pt>
                <c:pt idx="7">
                  <c:v>23.06444317933786</c:v>
                </c:pt>
                <c:pt idx="8">
                  <c:v>22.78987952340388</c:v>
                </c:pt>
                <c:pt idx="9">
                  <c:v>21.51613944329328</c:v>
                </c:pt>
                <c:pt idx="10">
                  <c:v>20.37446942216462</c:v>
                </c:pt>
                <c:pt idx="11">
                  <c:v>20.24287337825813</c:v>
                </c:pt>
                <c:pt idx="12">
                  <c:v>24.112634886348218</c:v>
                </c:pt>
                <c:pt idx="13">
                  <c:v>13.513910902686295</c:v>
                </c:pt>
                <c:pt idx="15">
                  <c:v>13.064867386792763</c:v>
                </c:pt>
                <c:pt idx="16">
                  <c:v>18.56903842594982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GA_Data3!$M$85:$M$101</c:f>
              <c:numCache>
                <c:ptCount val="17"/>
                <c:pt idx="0">
                  <c:v>241.88247666622848</c:v>
                </c:pt>
                <c:pt idx="1">
                  <c:v>495.9144868698289</c:v>
                </c:pt>
                <c:pt idx="4">
                  <c:v>3868.0127574878297</c:v>
                </c:pt>
                <c:pt idx="5">
                  <c:v>2531.997774067891</c:v>
                </c:pt>
                <c:pt idx="6">
                  <c:v>443.4554932656094</c:v>
                </c:pt>
                <c:pt idx="7">
                  <c:v>474.0915182548475</c:v>
                </c:pt>
                <c:pt idx="8">
                  <c:v>382.1301499183836</c:v>
                </c:pt>
                <c:pt idx="9">
                  <c:v>413.89580337394426</c:v>
                </c:pt>
                <c:pt idx="10">
                  <c:v>354.4917651562954</c:v>
                </c:pt>
                <c:pt idx="11">
                  <c:v>344.7630014498082</c:v>
                </c:pt>
                <c:pt idx="12">
                  <c:v>417.67090271691495</c:v>
                </c:pt>
                <c:pt idx="13">
                  <c:v>235.44015165314065</c:v>
                </c:pt>
                <c:pt idx="15">
                  <c:v>230.2493289784303</c:v>
                </c:pt>
                <c:pt idx="16">
                  <c:v>338.24518651080734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GA_Data3!$N$85:$N$101</c:f>
              <c:numCache>
                <c:ptCount val="17"/>
                <c:pt idx="0">
                  <c:v>24.668038679484653</c:v>
                </c:pt>
                <c:pt idx="1">
                  <c:v>49.01350222783637</c:v>
                </c:pt>
                <c:pt idx="4">
                  <c:v>297.9700721433391</c:v>
                </c:pt>
                <c:pt idx="5">
                  <c:v>205.11386989786453</c:v>
                </c:pt>
                <c:pt idx="6">
                  <c:v>42.326025471133256</c:v>
                </c:pt>
                <c:pt idx="7">
                  <c:v>43.89148251262461</c:v>
                </c:pt>
                <c:pt idx="8">
                  <c:v>39.582812622487886</c:v>
                </c:pt>
                <c:pt idx="9">
                  <c:v>39.94787916195179</c:v>
                </c:pt>
                <c:pt idx="10">
                  <c:v>36.121771470483566</c:v>
                </c:pt>
                <c:pt idx="11">
                  <c:v>35.51258069075234</c:v>
                </c:pt>
                <c:pt idx="12">
                  <c:v>42.51314129857159</c:v>
                </c:pt>
                <c:pt idx="13">
                  <c:v>23.875940863263306</c:v>
                </c:pt>
                <c:pt idx="15">
                  <c:v>23.310492711809694</c:v>
                </c:pt>
                <c:pt idx="16">
                  <c:v>33.67407216386649</c:v>
                </c:pt>
              </c:numCache>
            </c:numRef>
          </c:yVal>
          <c:smooth val="1"/>
        </c:ser>
        <c:axId val="2169769"/>
        <c:axId val="19527922"/>
      </c:scatterChart>
      <c:valAx>
        <c:axId val="216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At val="0"/>
        <c:crossBetween val="midCat"/>
        <c:dispUnits/>
        <c:majorUnit val="1"/>
      </c:valAx>
      <c:valAx>
        <c:axId val="19527922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69769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GA_Data1!$Q$5:$Q$21</c:f>
              <c:numCache>
                <c:ptCount val="17"/>
                <c:pt idx="0">
                  <c:v>2675</c:v>
                </c:pt>
                <c:pt idx="1">
                  <c:v>3022</c:v>
                </c:pt>
                <c:pt idx="4">
                  <c:v>3578</c:v>
                </c:pt>
                <c:pt idx="5">
                  <c:v>5930</c:v>
                </c:pt>
                <c:pt idx="6">
                  <c:v>3078</c:v>
                </c:pt>
                <c:pt idx="7">
                  <c:v>3094</c:v>
                </c:pt>
                <c:pt idx="8">
                  <c:v>2693</c:v>
                </c:pt>
                <c:pt idx="9">
                  <c:v>2688</c:v>
                </c:pt>
                <c:pt idx="10">
                  <c:v>2446</c:v>
                </c:pt>
                <c:pt idx="11">
                  <c:v>2616</c:v>
                </c:pt>
                <c:pt idx="12">
                  <c:v>2768</c:v>
                </c:pt>
                <c:pt idx="13">
                  <c:v>2139</c:v>
                </c:pt>
                <c:pt idx="15">
                  <c:v>2251</c:v>
                </c:pt>
                <c:pt idx="16">
                  <c:v>3009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GA_Data1!$R$5:$R$21</c:f>
              <c:numCache>
                <c:ptCount val="17"/>
                <c:pt idx="0">
                  <c:v>3382</c:v>
                </c:pt>
                <c:pt idx="1">
                  <c:v>3818</c:v>
                </c:pt>
                <c:pt idx="4">
                  <c:v>5089</c:v>
                </c:pt>
                <c:pt idx="5">
                  <c:v>9867</c:v>
                </c:pt>
                <c:pt idx="6">
                  <c:v>5927</c:v>
                </c:pt>
                <c:pt idx="7">
                  <c:v>6278</c:v>
                </c:pt>
                <c:pt idx="8">
                  <c:v>5427</c:v>
                </c:pt>
                <c:pt idx="9">
                  <c:v>5381</c:v>
                </c:pt>
                <c:pt idx="10">
                  <c:v>5035</c:v>
                </c:pt>
                <c:pt idx="11">
                  <c:v>5059</c:v>
                </c:pt>
                <c:pt idx="12">
                  <c:v>5488</c:v>
                </c:pt>
                <c:pt idx="13">
                  <c:v>3789</c:v>
                </c:pt>
                <c:pt idx="15">
                  <c:v>3678</c:v>
                </c:pt>
                <c:pt idx="16">
                  <c:v>5224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GA_Data1!$S$5:$S$21</c:f>
              <c:numCache>
                <c:ptCount val="17"/>
                <c:pt idx="0">
                  <c:v>6057</c:v>
                </c:pt>
                <c:pt idx="1">
                  <c:v>6840</c:v>
                </c:pt>
                <c:pt idx="4">
                  <c:v>8667</c:v>
                </c:pt>
                <c:pt idx="5">
                  <c:v>15797</c:v>
                </c:pt>
                <c:pt idx="6">
                  <c:v>9005</c:v>
                </c:pt>
                <c:pt idx="7">
                  <c:v>9372</c:v>
                </c:pt>
                <c:pt idx="8">
                  <c:v>8120</c:v>
                </c:pt>
                <c:pt idx="9">
                  <c:v>8069</c:v>
                </c:pt>
                <c:pt idx="10">
                  <c:v>7481</c:v>
                </c:pt>
                <c:pt idx="11">
                  <c:v>7675</c:v>
                </c:pt>
                <c:pt idx="12">
                  <c:v>8256</c:v>
                </c:pt>
                <c:pt idx="13">
                  <c:v>5928</c:v>
                </c:pt>
                <c:pt idx="15">
                  <c:v>5929</c:v>
                </c:pt>
                <c:pt idx="16">
                  <c:v>8233</c:v>
                </c:pt>
              </c:numCache>
            </c:numRef>
          </c:yVal>
          <c:smooth val="1"/>
        </c:ser>
        <c:axId val="41533571"/>
        <c:axId val="38257820"/>
      </c:scatterChart>
      <c:scatterChart>
        <c:scatterStyle val="lineMarker"/>
        <c:varyColors val="0"/>
        <c:ser>
          <c:idx val="5"/>
          <c:order val="3"/>
          <c:tx>
            <c:strRef>
              <c:f>GA_Data1!$A$23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GA_Data1!$R$28:$R$44</c:f>
              <c:numCache>
                <c:ptCount val="17"/>
                <c:pt idx="0">
                  <c:v>55.83622255241869</c:v>
                </c:pt>
                <c:pt idx="1">
                  <c:v>55.8187134502924</c:v>
                </c:pt>
                <c:pt idx="4">
                  <c:v>58.71697242413754</c:v>
                </c:pt>
                <c:pt idx="5">
                  <c:v>62.461226815218076</c:v>
                </c:pt>
                <c:pt idx="6">
                  <c:v>65.81898945030538</c:v>
                </c:pt>
                <c:pt idx="7">
                  <c:v>66.98676909944516</c:v>
                </c:pt>
                <c:pt idx="8">
                  <c:v>66.83497536945812</c:v>
                </c:pt>
                <c:pt idx="9">
                  <c:v>66.68732184905193</c:v>
                </c:pt>
                <c:pt idx="10">
                  <c:v>67.30383638550997</c:v>
                </c:pt>
                <c:pt idx="11">
                  <c:v>65.91530944625407</c:v>
                </c:pt>
                <c:pt idx="12">
                  <c:v>66.47286821705426</c:v>
                </c:pt>
                <c:pt idx="13">
                  <c:v>63.917004048582996</c:v>
                </c:pt>
                <c:pt idx="15">
                  <c:v>62.034069826277616</c:v>
                </c:pt>
                <c:pt idx="16">
                  <c:v>63.45196161787927</c:v>
                </c:pt>
              </c:numCache>
            </c:numRef>
          </c:yVal>
          <c:smooth val="0"/>
        </c:ser>
        <c:axId val="8776061"/>
        <c:axId val="11875686"/>
      </c:scatterChart>
      <c:valAx>
        <c:axId val="4153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257820"/>
        <c:crossesAt val="0"/>
        <c:crossBetween val="midCat"/>
        <c:dispUnits/>
        <c:majorUnit val="1"/>
      </c:valAx>
      <c:valAx>
        <c:axId val="38257820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533571"/>
        <c:crosses val="autoZero"/>
        <c:crossBetween val="midCat"/>
        <c:dispUnits/>
        <c:majorUnit val="2000"/>
      </c:valAx>
      <c:valAx>
        <c:axId val="8776061"/>
        <c:scaling>
          <c:orientation val="minMax"/>
        </c:scaling>
        <c:axPos val="b"/>
        <c:delete val="1"/>
        <c:majorTickMark val="in"/>
        <c:minorTickMark val="none"/>
        <c:tickLblPos val="nextTo"/>
        <c:crossAx val="11875686"/>
        <c:crosses val="max"/>
        <c:crossBetween val="midCat"/>
        <c:dispUnits/>
      </c:valAx>
      <c:valAx>
        <c:axId val="1187568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7760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GA_Data3!$L$105:$L$121</c:f>
              <c:numCache>
                <c:ptCount val="17"/>
                <c:pt idx="0">
                  <c:v>103.61425902635133</c:v>
                </c:pt>
                <c:pt idx="1">
                  <c:v>116.01012689327413</c:v>
                </c:pt>
                <c:pt idx="4">
                  <c:v>134.67734650245416</c:v>
                </c:pt>
                <c:pt idx="5">
                  <c:v>223.75424916111024</c:v>
                </c:pt>
                <c:pt idx="6">
                  <c:v>115.99284296272403</c:v>
                </c:pt>
                <c:pt idx="7">
                  <c:v>116.03477592987208</c:v>
                </c:pt>
                <c:pt idx="8">
                  <c:v>99.30929701703342</c:v>
                </c:pt>
                <c:pt idx="9">
                  <c:v>96.71468699594035</c:v>
                </c:pt>
                <c:pt idx="10">
                  <c:v>85.77616558797703</c:v>
                </c:pt>
                <c:pt idx="11">
                  <c:v>89.60297251695984</c:v>
                </c:pt>
                <c:pt idx="12">
                  <c:v>92.95790162313631</c:v>
                </c:pt>
                <c:pt idx="13">
                  <c:v>70.6754411267628</c:v>
                </c:pt>
                <c:pt idx="15">
                  <c:v>72.08092276389831</c:v>
                </c:pt>
                <c:pt idx="16">
                  <c:v>94.7020959723441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GA_Data3!$M$105:$M$121</c:f>
              <c:numCache>
                <c:ptCount val="17"/>
                <c:pt idx="0">
                  <c:v>2963.936724946321</c:v>
                </c:pt>
                <c:pt idx="1">
                  <c:v>3270.1235075457803</c:v>
                </c:pt>
                <c:pt idx="4">
                  <c:v>4067.8480931712265</c:v>
                </c:pt>
                <c:pt idx="5">
                  <c:v>7844.0257572144055</c:v>
                </c:pt>
                <c:pt idx="6">
                  <c:v>4660.214022314303</c:v>
                </c:pt>
                <c:pt idx="7">
                  <c:v>4863.311358829955</c:v>
                </c:pt>
                <c:pt idx="8">
                  <c:v>4082.3234716674565</c:v>
                </c:pt>
                <c:pt idx="9">
                  <c:v>3927.9952697622475</c:v>
                </c:pt>
                <c:pt idx="10">
                  <c:v>3569.732075123895</c:v>
                </c:pt>
                <c:pt idx="11">
                  <c:v>3509.3682582184706</c:v>
                </c:pt>
                <c:pt idx="12">
                  <c:v>3757.6687116564417</c:v>
                </c:pt>
                <c:pt idx="13">
                  <c:v>2556.110987431948</c:v>
                </c:pt>
                <c:pt idx="15">
                  <c:v>2378.8118875917603</c:v>
                </c:pt>
                <c:pt idx="16">
                  <c:v>3315.183591618119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GA_Data3!$N$105:$N$121</c:f>
              <c:numCache>
                <c:ptCount val="17"/>
                <c:pt idx="0">
                  <c:v>224.68317335584737</c:v>
                </c:pt>
                <c:pt idx="1">
                  <c:v>251.31360962398855</c:v>
                </c:pt>
                <c:pt idx="4">
                  <c:v>311.55828390231875</c:v>
                </c:pt>
                <c:pt idx="5">
                  <c:v>569.0523011549993</c:v>
                </c:pt>
                <c:pt idx="6">
                  <c:v>323.82825774643584</c:v>
                </c:pt>
                <c:pt idx="7">
                  <c:v>335.2493676514408</c:v>
                </c:pt>
                <c:pt idx="8">
                  <c:v>285.4462153593265</c:v>
                </c:pt>
                <c:pt idx="9">
                  <c:v>276.68621198093473</c:v>
                </c:pt>
                <c:pt idx="10">
                  <c:v>249.97869784522442</c:v>
                </c:pt>
                <c:pt idx="11">
                  <c:v>250.51383897198914</c:v>
                </c:pt>
                <c:pt idx="12">
                  <c:v>264.2985651814812</c:v>
                </c:pt>
                <c:pt idx="13">
                  <c:v>186.7237169359167</c:v>
                </c:pt>
                <c:pt idx="15">
                  <c:v>180.90040744544459</c:v>
                </c:pt>
                <c:pt idx="16">
                  <c:v>246.87322896270064</c:v>
                </c:pt>
              </c:numCache>
            </c:numRef>
          </c:yVal>
          <c:smooth val="1"/>
        </c:ser>
        <c:axId val="39772311"/>
        <c:axId val="22406480"/>
      </c:scatterChart>
      <c:valAx>
        <c:axId val="3977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At val="0"/>
        <c:crossBetween val="midCat"/>
        <c:dispUnits/>
        <c:majorUnit val="1"/>
      </c:valAx>
      <c:valAx>
        <c:axId val="22406480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GA_Data1!$J$48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GA_Data1!$J$49:$J$65</c:f>
              <c:numCache>
                <c:ptCount val="17"/>
                <c:pt idx="0">
                  <c:v>19.63017995707446</c:v>
                </c:pt>
                <c:pt idx="1">
                  <c:v>18.006430868167204</c:v>
                </c:pt>
                <c:pt idx="4">
                  <c:v>4.361370716510903</c:v>
                </c:pt>
                <c:pt idx="5">
                  <c:v>13.218066779427426</c:v>
                </c:pt>
                <c:pt idx="6">
                  <c:v>19.220636663007685</c:v>
                </c:pt>
                <c:pt idx="7">
                  <c:v>18.44557390936044</c:v>
                </c:pt>
                <c:pt idx="8">
                  <c:v>19.95351113286029</c:v>
                </c:pt>
                <c:pt idx="9">
                  <c:v>21.22822192017793</c:v>
                </c:pt>
                <c:pt idx="10">
                  <c:v>22.380575349696493</c:v>
                </c:pt>
                <c:pt idx="11">
                  <c:v>21.731879409878125</c:v>
                </c:pt>
                <c:pt idx="12">
                  <c:v>20.608674814282292</c:v>
                </c:pt>
                <c:pt idx="13">
                  <c:v>24.179648657606894</c:v>
                </c:pt>
                <c:pt idx="15">
                  <c:v>23.63996043521266</c:v>
                </c:pt>
                <c:pt idx="16">
                  <c:v>21.597353497164463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GA_Data1!$K$49:$K$65</c:f>
              <c:numCache>
                <c:ptCount val="17"/>
                <c:pt idx="0">
                  <c:v>41.62126465246822</c:v>
                </c:pt>
                <c:pt idx="1">
                  <c:v>30.10815551008477</c:v>
                </c:pt>
                <c:pt idx="5">
                  <c:v>21.79414896949195</c:v>
                </c:pt>
                <c:pt idx="6">
                  <c:v>26.860592755214054</c:v>
                </c:pt>
                <c:pt idx="7">
                  <c:v>24.692926725963574</c:v>
                </c:pt>
                <c:pt idx="8">
                  <c:v>23.391240518717886</c:v>
                </c:pt>
                <c:pt idx="9">
                  <c:v>22.9457555912517</c:v>
                </c:pt>
                <c:pt idx="10">
                  <c:v>24.082871470044868</c:v>
                </c:pt>
                <c:pt idx="11">
                  <c:v>22.88646568313021</c:v>
                </c:pt>
                <c:pt idx="12">
                  <c:v>20.38102084831057</c:v>
                </c:pt>
                <c:pt idx="13">
                  <c:v>21.909181305933046</c:v>
                </c:pt>
                <c:pt idx="15">
                  <c:v>21.44741180349489</c:v>
                </c:pt>
                <c:pt idx="16">
                  <c:v>18.90359168241966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GA_Data1!$L$49:$L$65</c:f>
              <c:numCache>
                <c:ptCount val="17"/>
                <c:pt idx="0">
                  <c:v>15.717351824335479</c:v>
                </c:pt>
                <c:pt idx="1">
                  <c:v>17.071031862028647</c:v>
                </c:pt>
                <c:pt idx="5">
                  <c:v>10.048236547014971</c:v>
                </c:pt>
                <c:pt idx="6">
                  <c:v>10.17563117453348</c:v>
                </c:pt>
                <c:pt idx="7">
                  <c:v>10.980516730199067</c:v>
                </c:pt>
                <c:pt idx="8">
                  <c:v>11.609982872522632</c:v>
                </c:pt>
                <c:pt idx="9">
                  <c:v>12.0968738415915</c:v>
                </c:pt>
                <c:pt idx="10">
                  <c:v>11.810504090789127</c:v>
                </c:pt>
                <c:pt idx="11">
                  <c:v>12.815907633098139</c:v>
                </c:pt>
                <c:pt idx="12">
                  <c:v>13.910855499640546</c:v>
                </c:pt>
                <c:pt idx="13">
                  <c:v>12.479284057010274</c:v>
                </c:pt>
                <c:pt idx="15">
                  <c:v>14.606000659413123</c:v>
                </c:pt>
                <c:pt idx="16">
                  <c:v>15.087429111531192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GA_Data1!$M$49:$M$65</c:f>
              <c:numCache>
                <c:ptCount val="17"/>
                <c:pt idx="0">
                  <c:v>12.052171041769853</c:v>
                </c:pt>
                <c:pt idx="1">
                  <c:v>15.30254311604794</c:v>
                </c:pt>
                <c:pt idx="5">
                  <c:v>19.037774854350687</c:v>
                </c:pt>
                <c:pt idx="6">
                  <c:v>30.74643249176729</c:v>
                </c:pt>
                <c:pt idx="7">
                  <c:v>32.80389665396019</c:v>
                </c:pt>
                <c:pt idx="8">
                  <c:v>31.159774896011744</c:v>
                </c:pt>
                <c:pt idx="9">
                  <c:v>29.309279624366734</c:v>
                </c:pt>
                <c:pt idx="10">
                  <c:v>27.32911058326735</c:v>
                </c:pt>
                <c:pt idx="11">
                  <c:v>28.45413726747915</c:v>
                </c:pt>
                <c:pt idx="12">
                  <c:v>29.007907979870595</c:v>
                </c:pt>
                <c:pt idx="13">
                  <c:v>28.55485581703679</c:v>
                </c:pt>
                <c:pt idx="15">
                  <c:v>27.530497856907353</c:v>
                </c:pt>
                <c:pt idx="16">
                  <c:v>30.84829867674858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GA_Data1!$N$48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GA_Data1!$N$49:$N$65</c:f>
              <c:numCache>
                <c:ptCount val="17"/>
                <c:pt idx="0">
                  <c:v>10.97903252435199</c:v>
                </c:pt>
                <c:pt idx="1">
                  <c:v>19.511838643671442</c:v>
                </c:pt>
                <c:pt idx="4">
                  <c:v>95.6386292834891</c:v>
                </c:pt>
                <c:pt idx="5">
                  <c:v>35.901772849714966</c:v>
                </c:pt>
                <c:pt idx="6">
                  <c:v>12.996706915477496</c:v>
                </c:pt>
                <c:pt idx="7">
                  <c:v>13.077085980516731</c:v>
                </c:pt>
                <c:pt idx="8">
                  <c:v>13.885490579887447</c:v>
                </c:pt>
                <c:pt idx="9">
                  <c:v>14.419869022612133</c:v>
                </c:pt>
                <c:pt idx="10">
                  <c:v>14.396938506202165</c:v>
                </c:pt>
                <c:pt idx="11">
                  <c:v>14.111610006414368</c:v>
                </c:pt>
                <c:pt idx="12">
                  <c:v>16.091540857895996</c:v>
                </c:pt>
                <c:pt idx="13">
                  <c:v>12.877030162412991</c:v>
                </c:pt>
                <c:pt idx="15">
                  <c:v>12.776129244971976</c:v>
                </c:pt>
                <c:pt idx="16">
                  <c:v>13.563327032136105</c:v>
                </c:pt>
              </c:numCache>
            </c:numRef>
          </c:yVal>
          <c:smooth val="0"/>
        </c:ser>
        <c:axId val="331729"/>
        <c:axId val="2985562"/>
      </c:scatterChart>
      <c:valAx>
        <c:axId val="33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85562"/>
        <c:crosses val="autoZero"/>
        <c:crossBetween val="midCat"/>
        <c:dispUnits/>
        <c:majorUnit val="1"/>
      </c:valAx>
      <c:valAx>
        <c:axId val="298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GEORGIA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GA_Data1!$J$90:$J$106</c:f>
              <c:numCache>
                <c:ptCount val="17"/>
                <c:pt idx="0">
                  <c:v>20.549970431697222</c:v>
                </c:pt>
                <c:pt idx="1">
                  <c:v>19.198533263488738</c:v>
                </c:pt>
                <c:pt idx="4">
                  <c:v>4.912556494399686</c:v>
                </c:pt>
                <c:pt idx="5">
                  <c:v>13.08401743184352</c:v>
                </c:pt>
                <c:pt idx="6">
                  <c:v>17.074405264045893</c:v>
                </c:pt>
                <c:pt idx="7">
                  <c:v>16.27906976744186</c:v>
                </c:pt>
                <c:pt idx="8">
                  <c:v>18.463239358761747</c:v>
                </c:pt>
                <c:pt idx="9">
                  <c:v>19.252926965248097</c:v>
                </c:pt>
                <c:pt idx="10">
                  <c:v>20.25819265143992</c:v>
                </c:pt>
                <c:pt idx="11">
                  <c:v>19.588851551690055</c:v>
                </c:pt>
                <c:pt idx="12">
                  <c:v>19.07798833819242</c:v>
                </c:pt>
                <c:pt idx="13">
                  <c:v>23.568223805753497</c:v>
                </c:pt>
                <c:pt idx="15">
                  <c:v>22.185970636215334</c:v>
                </c:pt>
                <c:pt idx="16">
                  <c:v>19.927258805513016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GA_Data1!$K$90:$K$106</c:f>
              <c:numCache>
                <c:ptCount val="17"/>
                <c:pt idx="0">
                  <c:v>45.50561797752809</c:v>
                </c:pt>
                <c:pt idx="1">
                  <c:v>33.18491356731273</c:v>
                </c:pt>
                <c:pt idx="5">
                  <c:v>22.772879294618427</c:v>
                </c:pt>
                <c:pt idx="6">
                  <c:v>28.496709971317696</c:v>
                </c:pt>
                <c:pt idx="7">
                  <c:v>24.992035680152917</c:v>
                </c:pt>
                <c:pt idx="8">
                  <c:v>24.35968306615073</c:v>
                </c:pt>
                <c:pt idx="9">
                  <c:v>23.15554729604163</c:v>
                </c:pt>
                <c:pt idx="10">
                  <c:v>26.05759682224429</c:v>
                </c:pt>
                <c:pt idx="11">
                  <c:v>24.01660407195098</c:v>
                </c:pt>
                <c:pt idx="12">
                  <c:v>21.519679300291543</c:v>
                </c:pt>
                <c:pt idx="13">
                  <c:v>22.301398785959357</c:v>
                </c:pt>
                <c:pt idx="15">
                  <c:v>21.37030995106036</c:v>
                </c:pt>
                <c:pt idx="16">
                  <c:v>19.42955589586524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GA_Data1!$L$90:$L$106</c:f>
              <c:numCache>
                <c:ptCount val="17"/>
                <c:pt idx="0">
                  <c:v>15.759905381431105</c:v>
                </c:pt>
                <c:pt idx="1">
                  <c:v>18.15086432687271</c:v>
                </c:pt>
                <c:pt idx="5">
                  <c:v>10.215871085436303</c:v>
                </c:pt>
                <c:pt idx="6">
                  <c:v>9.397671672009448</c:v>
                </c:pt>
                <c:pt idx="7">
                  <c:v>10.050971647021345</c:v>
                </c:pt>
                <c:pt idx="8">
                  <c:v>10.632025059885757</c:v>
                </c:pt>
                <c:pt idx="9">
                  <c:v>11.429102397323918</c:v>
                </c:pt>
                <c:pt idx="10">
                  <c:v>11.022840119165839</c:v>
                </c:pt>
                <c:pt idx="11">
                  <c:v>12.255386440007907</c:v>
                </c:pt>
                <c:pt idx="12">
                  <c:v>13.92128279883382</c:v>
                </c:pt>
                <c:pt idx="13">
                  <c:v>11.190287674848246</c:v>
                </c:pt>
                <c:pt idx="15">
                  <c:v>14.845024469820556</c:v>
                </c:pt>
                <c:pt idx="16">
                  <c:v>14.605666156202144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GA_Data1!$M$90:$M$106</c:f>
              <c:numCache>
                <c:ptCount val="17"/>
                <c:pt idx="0">
                  <c:v>10.023654642223537</c:v>
                </c:pt>
                <c:pt idx="1">
                  <c:v>14.3006809848088</c:v>
                </c:pt>
                <c:pt idx="5">
                  <c:v>21.647917300091212</c:v>
                </c:pt>
                <c:pt idx="6">
                  <c:v>35.51543782689387</c:v>
                </c:pt>
                <c:pt idx="7">
                  <c:v>38.92959541255177</c:v>
                </c:pt>
                <c:pt idx="8">
                  <c:v>37.18444812972176</c:v>
                </c:pt>
                <c:pt idx="9">
                  <c:v>35.62534844824382</c:v>
                </c:pt>
                <c:pt idx="10">
                  <c:v>32.73088381330685</c:v>
                </c:pt>
                <c:pt idx="11">
                  <c:v>34.31508203202214</c:v>
                </c:pt>
                <c:pt idx="12">
                  <c:v>34.36588921282799</c:v>
                </c:pt>
                <c:pt idx="13">
                  <c:v>33.729216152019006</c:v>
                </c:pt>
                <c:pt idx="15">
                  <c:v>31.91952147906471</c:v>
                </c:pt>
                <c:pt idx="16">
                  <c:v>35.83460949464013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GA_Data1!$N$89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GA_Data1!$N$90:$N$106</c:f>
              <c:numCache>
                <c:ptCount val="17"/>
                <c:pt idx="0">
                  <c:v>8.160851567120048</c:v>
                </c:pt>
                <c:pt idx="1">
                  <c:v>15.165007857517024</c:v>
                </c:pt>
                <c:pt idx="4">
                  <c:v>95.0874435056003</c:v>
                </c:pt>
                <c:pt idx="5">
                  <c:v>32.27931488801054</c:v>
                </c:pt>
                <c:pt idx="6">
                  <c:v>9.515775265733085</c:v>
                </c:pt>
                <c:pt idx="7">
                  <c:v>9.748327492832113</c:v>
                </c:pt>
                <c:pt idx="8">
                  <c:v>9.360604385480007</c:v>
                </c:pt>
                <c:pt idx="9">
                  <c:v>10.537074893142538</c:v>
                </c:pt>
                <c:pt idx="10">
                  <c:v>9.930486593843098</c:v>
                </c:pt>
                <c:pt idx="11">
                  <c:v>9.824075904328918</c:v>
                </c:pt>
                <c:pt idx="12">
                  <c:v>11.115160349854229</c:v>
                </c:pt>
                <c:pt idx="13">
                  <c:v>9.2108735814199</c:v>
                </c:pt>
                <c:pt idx="15">
                  <c:v>9.679173463839042</c:v>
                </c:pt>
                <c:pt idx="16">
                  <c:v>10.202909647779478</c:v>
                </c:pt>
              </c:numCache>
            </c:numRef>
          </c:yVal>
          <c:smooth val="0"/>
        </c:ser>
        <c:axId val="26870059"/>
        <c:axId val="40503940"/>
      </c:scatterChart>
      <c:valAx>
        <c:axId val="26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503940"/>
        <c:crosses val="autoZero"/>
        <c:crossBetween val="midCat"/>
        <c:dispUnits/>
        <c:majorUnit val="1"/>
      </c:valAx>
      <c:valAx>
        <c:axId val="4050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GA_Data1!$B$90:$B$106</c:f>
              <c:numCache>
                <c:ptCount val="17"/>
                <c:pt idx="0">
                  <c:v>18.467289719626166</c:v>
                </c:pt>
                <c:pt idx="1">
                  <c:v>16.512243547319656</c:v>
                </c:pt>
                <c:pt idx="4">
                  <c:v>3.577417551704863</c:v>
                </c:pt>
                <c:pt idx="5">
                  <c:v>13.30522765598651</c:v>
                </c:pt>
                <c:pt idx="6">
                  <c:v>23.294346978557503</c:v>
                </c:pt>
                <c:pt idx="7">
                  <c:v>22.88299935358759</c:v>
                </c:pt>
                <c:pt idx="8">
                  <c:v>22.762718158187894</c:v>
                </c:pt>
                <c:pt idx="9">
                  <c:v>25.148809523809522</c:v>
                </c:pt>
                <c:pt idx="10">
                  <c:v>26.24693376941946</c:v>
                </c:pt>
                <c:pt idx="11">
                  <c:v>25.726299694189603</c:v>
                </c:pt>
                <c:pt idx="12">
                  <c:v>23.302023121387283</c:v>
                </c:pt>
                <c:pt idx="13">
                  <c:v>25.432445067788684</c:v>
                </c:pt>
                <c:pt idx="15">
                  <c:v>25.322079075966236</c:v>
                </c:pt>
                <c:pt idx="16">
                  <c:v>24.127617148554336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GA_Data1!$C$90:$C$106</c:f>
              <c:numCache>
                <c:ptCount val="17"/>
                <c:pt idx="0">
                  <c:v>36.71028037383178</c:v>
                </c:pt>
                <c:pt idx="1">
                  <c:v>26.207809397749838</c:v>
                </c:pt>
                <c:pt idx="5">
                  <c:v>20.45531197301855</c:v>
                </c:pt>
                <c:pt idx="6">
                  <c:v>24.269005847953213</c:v>
                </c:pt>
                <c:pt idx="7">
                  <c:v>24.20814479638009</c:v>
                </c:pt>
                <c:pt idx="8">
                  <c:v>21.463052357965097</c:v>
                </c:pt>
                <c:pt idx="9">
                  <c:v>22.433035714285715</c:v>
                </c:pt>
                <c:pt idx="10">
                  <c:v>20.441537203597708</c:v>
                </c:pt>
                <c:pt idx="11">
                  <c:v>20.948012232415902</c:v>
                </c:pt>
                <c:pt idx="12">
                  <c:v>18.316473988439306</c:v>
                </c:pt>
                <c:pt idx="13">
                  <c:v>21.73913043478261</c:v>
                </c:pt>
                <c:pt idx="15">
                  <c:v>21.99022656597068</c:v>
                </c:pt>
                <c:pt idx="16">
                  <c:v>19.009637753406448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GA_Data1!$D$90:$D$106</c:f>
              <c:numCache>
                <c:ptCount val="17"/>
                <c:pt idx="0">
                  <c:v>15.663551401869158</c:v>
                </c:pt>
                <c:pt idx="1">
                  <c:v>15.718067504963601</c:v>
                </c:pt>
                <c:pt idx="5">
                  <c:v>9.915682967959528</c:v>
                </c:pt>
                <c:pt idx="6">
                  <c:v>11.825860948667966</c:v>
                </c:pt>
                <c:pt idx="7">
                  <c:v>12.928248222365871</c:v>
                </c:pt>
                <c:pt idx="8">
                  <c:v>13.739324173783885</c:v>
                </c:pt>
                <c:pt idx="9">
                  <c:v>13.430059523809524</c:v>
                </c:pt>
                <c:pt idx="10">
                  <c:v>13.81847914963205</c:v>
                </c:pt>
                <c:pt idx="11">
                  <c:v>14.181957186544341</c:v>
                </c:pt>
                <c:pt idx="12">
                  <c:v>14.017341040462428</c:v>
                </c:pt>
                <c:pt idx="13">
                  <c:v>15.007012622720897</c:v>
                </c:pt>
                <c:pt idx="15">
                  <c:v>14.704575744113727</c:v>
                </c:pt>
                <c:pt idx="16">
                  <c:v>16.650049850448653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GA_Data1!$E$90:$E$106</c:f>
              <c:numCache>
                <c:ptCount val="17"/>
                <c:pt idx="0">
                  <c:v>14.616822429906543</c:v>
                </c:pt>
                <c:pt idx="1">
                  <c:v>16.57842488418266</c:v>
                </c:pt>
                <c:pt idx="5">
                  <c:v>14.013490725126477</c:v>
                </c:pt>
                <c:pt idx="6">
                  <c:v>20.69525666016894</c:v>
                </c:pt>
                <c:pt idx="7">
                  <c:v>20.103425985778927</c:v>
                </c:pt>
                <c:pt idx="8">
                  <c:v>19.08652060898626</c:v>
                </c:pt>
                <c:pt idx="9">
                  <c:v>16.741071428571427</c:v>
                </c:pt>
                <c:pt idx="10">
                  <c:v>15.739983646770236</c:v>
                </c:pt>
                <c:pt idx="11">
                  <c:v>16.551987767584098</c:v>
                </c:pt>
                <c:pt idx="12">
                  <c:v>18.42485549132948</c:v>
                </c:pt>
                <c:pt idx="13">
                  <c:v>18.700327255726975</c:v>
                </c:pt>
                <c:pt idx="15">
                  <c:v>19.857840959573522</c:v>
                </c:pt>
                <c:pt idx="16">
                  <c:v>20.60485211033566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GA_Data1!$F$89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GA_Data1!$F$90:$F$106</c:f>
              <c:numCache>
                <c:ptCount val="17"/>
                <c:pt idx="0">
                  <c:v>14.542056074766355</c:v>
                </c:pt>
                <c:pt idx="1">
                  <c:v>24.98345466578425</c:v>
                </c:pt>
                <c:pt idx="4">
                  <c:v>96.42258244829513</c:v>
                </c:pt>
                <c:pt idx="5">
                  <c:v>42.310286677908934</c:v>
                </c:pt>
                <c:pt idx="6">
                  <c:v>19.91552956465237</c:v>
                </c:pt>
                <c:pt idx="7">
                  <c:v>19.877181641887525</c:v>
                </c:pt>
                <c:pt idx="8">
                  <c:v>22.948384701076865</c:v>
                </c:pt>
                <c:pt idx="9">
                  <c:v>22.247023809523807</c:v>
                </c:pt>
                <c:pt idx="10">
                  <c:v>23.75306623058054</c:v>
                </c:pt>
                <c:pt idx="11">
                  <c:v>22.591743119266056</c:v>
                </c:pt>
                <c:pt idx="12">
                  <c:v>25.939306358381504</c:v>
                </c:pt>
                <c:pt idx="13">
                  <c:v>19.12108461898083</c:v>
                </c:pt>
                <c:pt idx="15">
                  <c:v>18.125277654375832</c:v>
                </c:pt>
                <c:pt idx="16">
                  <c:v>19.607843137254903</c:v>
                </c:pt>
              </c:numCache>
            </c:numRef>
          </c:yVal>
          <c:smooth val="0"/>
        </c:ser>
        <c:axId val="28991141"/>
        <c:axId val="59593678"/>
      </c:scatterChart>
      <c:valAx>
        <c:axId val="2899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593678"/>
        <c:crosses val="autoZero"/>
        <c:crossBetween val="midCat"/>
        <c:dispUnits/>
        <c:majorUnit val="1"/>
      </c:valAx>
      <c:valAx>
        <c:axId val="5959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991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GA_Data1!$J$110:$J$126</c:f>
              <c:numCache>
                <c:ptCount val="17"/>
                <c:pt idx="0">
                  <c:v>62.76033571650606</c:v>
                </c:pt>
                <c:pt idx="1">
                  <c:v>55.87130491589091</c:v>
                </c:pt>
                <c:pt idx="4">
                  <c:v>59.7188727347895</c:v>
                </c:pt>
                <c:pt idx="5">
                  <c:v>61.982604643938814</c:v>
                </c:pt>
                <c:pt idx="6">
                  <c:v>56.38074019061765</c:v>
                </c:pt>
                <c:pt idx="7">
                  <c:v>53.21462782442102</c:v>
                </c:pt>
                <c:pt idx="8">
                  <c:v>49.16100318758645</c:v>
                </c:pt>
                <c:pt idx="9">
                  <c:v>47.93579340164663</c:v>
                </c:pt>
                <c:pt idx="10">
                  <c:v>49.2077922077922</c:v>
                </c:pt>
                <c:pt idx="11">
                  <c:v>50.78837633567892</c:v>
                </c:pt>
                <c:pt idx="12">
                  <c:v>54.17369855900298</c:v>
                </c:pt>
                <c:pt idx="13">
                  <c:v>40.16240681576145</c:v>
                </c:pt>
                <c:pt idx="15">
                  <c:v>39.37426976502662</c:v>
                </c:pt>
                <c:pt idx="16">
                  <c:v>41.07142857142857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GA_Data1!$K$110:$K$126</c:f>
              <c:numCache>
                <c:ptCount val="17"/>
                <c:pt idx="0">
                  <c:v>37.23966428349394</c:v>
                </c:pt>
                <c:pt idx="1">
                  <c:v>42.446513147150085</c:v>
                </c:pt>
                <c:pt idx="4">
                  <c:v>38.52408185764487</c:v>
                </c:pt>
                <c:pt idx="5">
                  <c:v>36.39046361730217</c:v>
                </c:pt>
                <c:pt idx="6">
                  <c:v>42.672360440648596</c:v>
                </c:pt>
                <c:pt idx="7">
                  <c:v>46.17681861723108</c:v>
                </c:pt>
                <c:pt idx="8">
                  <c:v>50.19546520719312</c:v>
                </c:pt>
                <c:pt idx="9">
                  <c:v>49.26849493573417</c:v>
                </c:pt>
                <c:pt idx="10">
                  <c:v>44.86363636363636</c:v>
                </c:pt>
                <c:pt idx="11">
                  <c:v>43.58222569715924</c:v>
                </c:pt>
                <c:pt idx="12">
                  <c:v>44.58652473062443</c:v>
                </c:pt>
                <c:pt idx="13">
                  <c:v>59.365015974440894</c:v>
                </c:pt>
                <c:pt idx="15">
                  <c:v>60.320654290536154</c:v>
                </c:pt>
                <c:pt idx="16">
                  <c:v>58.60830745341615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GA_Data1!$L$110:$L$126</c:f>
              <c:numCache>
                <c:ptCount val="17"/>
                <c:pt idx="0">
                  <c:v>0</c:v>
                </c:pt>
                <c:pt idx="1">
                  <c:v>1.6821819369590068</c:v>
                </c:pt>
                <c:pt idx="4">
                  <c:v>1.7570454075656308</c:v>
                </c:pt>
                <c:pt idx="5">
                  <c:v>1.6269317387590279</c:v>
                </c:pt>
                <c:pt idx="6">
                  <c:v>0.9468993687337541</c:v>
                </c:pt>
                <c:pt idx="7">
                  <c:v>0.6085535583478897</c:v>
                </c:pt>
                <c:pt idx="8">
                  <c:v>0.6435316052204246</c:v>
                </c:pt>
                <c:pt idx="9">
                  <c:v>2.7957116626192025</c:v>
                </c:pt>
                <c:pt idx="10">
                  <c:v>5.928571428571429</c:v>
                </c:pt>
                <c:pt idx="11">
                  <c:v>5.629397967161845</c:v>
                </c:pt>
                <c:pt idx="12">
                  <c:v>1.239776710372582</c:v>
                </c:pt>
                <c:pt idx="13">
                  <c:v>0.4725772097976571</c:v>
                </c:pt>
                <c:pt idx="15">
                  <c:v>0.30507594443723224</c:v>
                </c:pt>
                <c:pt idx="16">
                  <c:v>0.3202639751552795</c:v>
                </c:pt>
              </c:numCache>
            </c:numRef>
          </c:yVal>
          <c:smooth val="0"/>
        </c:ser>
        <c:axId val="66581055"/>
        <c:axId val="62358584"/>
      </c:scatterChart>
      <c:valAx>
        <c:axId val="66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 val="autoZero"/>
        <c:crossBetween val="midCat"/>
        <c:dispUnits/>
        <c:majorUnit val="1"/>
      </c:valAx>
      <c:valAx>
        <c:axId val="6235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GA_Data1!$B$110:$B$126</c:f>
              <c:numCache>
                <c:ptCount val="17"/>
                <c:pt idx="0">
                  <c:v>6057</c:v>
                </c:pt>
                <c:pt idx="1">
                  <c:v>6842</c:v>
                </c:pt>
                <c:pt idx="4">
                  <c:v>8667</c:v>
                </c:pt>
                <c:pt idx="5">
                  <c:v>15963</c:v>
                </c:pt>
                <c:pt idx="6">
                  <c:v>9110</c:v>
                </c:pt>
                <c:pt idx="7">
                  <c:v>9444</c:v>
                </c:pt>
                <c:pt idx="8">
                  <c:v>8174</c:v>
                </c:pt>
                <c:pt idx="9">
                  <c:v>8093</c:v>
                </c:pt>
                <c:pt idx="10">
                  <c:v>7578</c:v>
                </c:pt>
                <c:pt idx="11">
                  <c:v>7795</c:v>
                </c:pt>
                <c:pt idx="12">
                  <c:v>8346</c:v>
                </c:pt>
                <c:pt idx="13">
                  <c:v>6034</c:v>
                </c:pt>
                <c:pt idx="15">
                  <c:v>6066</c:v>
                </c:pt>
                <c:pt idx="16">
                  <c:v>8464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GA_Data1!$F$110:$F$126</c:f>
              <c:numCache>
                <c:ptCount val="17"/>
                <c:pt idx="0">
                  <c:v>3594</c:v>
                </c:pt>
                <c:pt idx="1">
                  <c:v>5198</c:v>
                </c:pt>
                <c:pt idx="4">
                  <c:v>5591</c:v>
                </c:pt>
                <c:pt idx="5">
                  <c:v>9372</c:v>
                </c:pt>
                <c:pt idx="6">
                  <c:v>6895</c:v>
                </c:pt>
                <c:pt idx="7">
                  <c:v>8195</c:v>
                </c:pt>
                <c:pt idx="8">
                  <c:v>8346</c:v>
                </c:pt>
                <c:pt idx="9">
                  <c:v>8318</c:v>
                </c:pt>
                <c:pt idx="10">
                  <c:v>6909</c:v>
                </c:pt>
                <c:pt idx="11">
                  <c:v>6689</c:v>
                </c:pt>
                <c:pt idx="12">
                  <c:v>6869</c:v>
                </c:pt>
                <c:pt idx="13">
                  <c:v>8919</c:v>
                </c:pt>
                <c:pt idx="15">
                  <c:v>9293</c:v>
                </c:pt>
                <c:pt idx="16">
                  <c:v>12078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GA_Data1!$E$110:$E$126</c:f>
              <c:numCache>
                <c:ptCount val="17"/>
                <c:pt idx="0">
                  <c:v>0</c:v>
                </c:pt>
                <c:pt idx="1">
                  <c:v>206</c:v>
                </c:pt>
                <c:pt idx="4">
                  <c:v>255</c:v>
                </c:pt>
                <c:pt idx="5">
                  <c:v>419</c:v>
                </c:pt>
                <c:pt idx="6">
                  <c:v>153</c:v>
                </c:pt>
                <c:pt idx="7">
                  <c:v>108</c:v>
                </c:pt>
                <c:pt idx="8">
                  <c:v>107</c:v>
                </c:pt>
                <c:pt idx="9">
                  <c:v>472</c:v>
                </c:pt>
                <c:pt idx="10">
                  <c:v>913</c:v>
                </c:pt>
                <c:pt idx="11">
                  <c:v>864</c:v>
                </c:pt>
                <c:pt idx="12">
                  <c:v>191</c:v>
                </c:pt>
                <c:pt idx="13">
                  <c:v>71</c:v>
                </c:pt>
                <c:pt idx="15">
                  <c:v>47</c:v>
                </c:pt>
                <c:pt idx="16">
                  <c:v>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GA_Data1!$G$110:$G$126</c:f>
              <c:numCache>
                <c:ptCount val="17"/>
                <c:pt idx="0">
                  <c:v>9651</c:v>
                </c:pt>
                <c:pt idx="1">
                  <c:v>12246</c:v>
                </c:pt>
                <c:pt idx="4">
                  <c:v>14513</c:v>
                </c:pt>
                <c:pt idx="5">
                  <c:v>25754</c:v>
                </c:pt>
                <c:pt idx="6">
                  <c:v>16158</c:v>
                </c:pt>
                <c:pt idx="7">
                  <c:v>17747</c:v>
                </c:pt>
                <c:pt idx="8">
                  <c:v>16627</c:v>
                </c:pt>
                <c:pt idx="9">
                  <c:v>16883</c:v>
                </c:pt>
                <c:pt idx="10">
                  <c:v>15400</c:v>
                </c:pt>
                <c:pt idx="11">
                  <c:v>15348</c:v>
                </c:pt>
                <c:pt idx="12">
                  <c:v>15406</c:v>
                </c:pt>
                <c:pt idx="13">
                  <c:v>15024</c:v>
                </c:pt>
                <c:pt idx="15">
                  <c:v>15406</c:v>
                </c:pt>
                <c:pt idx="16">
                  <c:v>20608</c:v>
                </c:pt>
              </c:numCache>
            </c:numRef>
          </c:yVal>
          <c:smooth val="0"/>
        </c:ser>
        <c:axId val="24356345"/>
        <c:axId val="17880514"/>
      </c:scatterChart>
      <c:valAx>
        <c:axId val="2435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880514"/>
        <c:crosses val="autoZero"/>
        <c:crossBetween val="midCat"/>
        <c:dispUnits/>
        <c:majorUnit val="1"/>
      </c:valAx>
      <c:valAx>
        <c:axId val="17880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GA_Data2!$AC$111:$AC$127</c:f>
              <c:numCache>
                <c:ptCount val="17"/>
                <c:pt idx="0">
                  <c:v>0.16423824041629365</c:v>
                </c:pt>
                <c:pt idx="1">
                  <c:v>0.1713121696422359</c:v>
                </c:pt>
                <c:pt idx="2">
                  <c:v>0.17877878992586552</c:v>
                </c:pt>
                <c:pt idx="3">
                  <c:v>0.18387204819459277</c:v>
                </c:pt>
                <c:pt idx="4">
                  <c:v>0.18790422521962696</c:v>
                </c:pt>
                <c:pt idx="5">
                  <c:v>0.19165116543065783</c:v>
                </c:pt>
                <c:pt idx="6">
                  <c:v>0.1942103751796302</c:v>
                </c:pt>
                <c:pt idx="7">
                  <c:v>0.1952346035083826</c:v>
                </c:pt>
                <c:pt idx="8">
                  <c:v>0.192923451798361</c:v>
                </c:pt>
                <c:pt idx="9">
                  <c:v>0.19572528868370526</c:v>
                </c:pt>
                <c:pt idx="10">
                  <c:v>0.19754595674093123</c:v>
                </c:pt>
                <c:pt idx="11">
                  <c:v>0.19795909677968745</c:v>
                </c:pt>
                <c:pt idx="12">
                  <c:v>0.19988765448551568</c:v>
                </c:pt>
                <c:pt idx="13">
                  <c:v>0.20157591999699956</c:v>
                </c:pt>
                <c:pt idx="14">
                  <c:v>0.20023793449561278</c:v>
                </c:pt>
                <c:pt idx="15">
                  <c:v>0.2033255453202387</c:v>
                </c:pt>
                <c:pt idx="16">
                  <c:v>0.2037302394379218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GA_Data2!$AD$111:$AD$127</c:f>
              <c:numCache>
                <c:ptCount val="17"/>
                <c:pt idx="0">
                  <c:v>0.699286904374519</c:v>
                </c:pt>
                <c:pt idx="1">
                  <c:v>0.764529400534228</c:v>
                </c:pt>
                <c:pt idx="2">
                  <c:v>0.8362185032357954</c:v>
                </c:pt>
                <c:pt idx="3">
                  <c:v>0.9024324424709589</c:v>
                </c:pt>
                <c:pt idx="4">
                  <c:v>0.9627313085549736</c:v>
                </c:pt>
                <c:pt idx="5">
                  <c:v>1.0270634244239738</c:v>
                </c:pt>
                <c:pt idx="6">
                  <c:v>1.093417982498761</c:v>
                </c:pt>
                <c:pt idx="7">
                  <c:v>1.1524728000220086</c:v>
                </c:pt>
                <c:pt idx="8">
                  <c:v>1.2226942861039385</c:v>
                </c:pt>
                <c:pt idx="9">
                  <c:v>1.311758873545486</c:v>
                </c:pt>
                <c:pt idx="10">
                  <c:v>1.4022006088691592</c:v>
                </c:pt>
                <c:pt idx="11">
                  <c:v>1.505868661207227</c:v>
                </c:pt>
                <c:pt idx="12">
                  <c:v>1.607948653815282</c:v>
                </c:pt>
                <c:pt idx="13">
                  <c:v>1.6961699893279325</c:v>
                </c:pt>
                <c:pt idx="14">
                  <c:v>1.7876211546368506</c:v>
                </c:pt>
                <c:pt idx="15">
                  <c:v>1.8886739277383082</c:v>
                </c:pt>
                <c:pt idx="16">
                  <c:v>1.9889345988310583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GA_Data2!$AE$111:$AE$127</c:f>
              <c:numCache>
                <c:ptCount val="17"/>
                <c:pt idx="0">
                  <c:v>1.2760410483874347</c:v>
                </c:pt>
                <c:pt idx="1">
                  <c:v>1.3357070705858924</c:v>
                </c:pt>
                <c:pt idx="2">
                  <c:v>1.3934347598293115</c:v>
                </c:pt>
                <c:pt idx="3">
                  <c:v>1.4534898053566128</c:v>
                </c:pt>
                <c:pt idx="4">
                  <c:v>1.513381209770762</c:v>
                </c:pt>
                <c:pt idx="5">
                  <c:v>1.5765425939767546</c:v>
                </c:pt>
                <c:pt idx="6">
                  <c:v>1.635104426096721</c:v>
                </c:pt>
                <c:pt idx="7">
                  <c:v>1.691316002336729</c:v>
                </c:pt>
                <c:pt idx="8">
                  <c:v>1.7918441437069788</c:v>
                </c:pt>
                <c:pt idx="9">
                  <c:v>1.9111546253451084</c:v>
                </c:pt>
                <c:pt idx="10">
                  <c:v>2.010112426698106</c:v>
                </c:pt>
                <c:pt idx="11">
                  <c:v>2.1326445166692687</c:v>
                </c:pt>
                <c:pt idx="12">
                  <c:v>2.32883237175626</c:v>
                </c:pt>
                <c:pt idx="13">
                  <c:v>2.51852609542124</c:v>
                </c:pt>
                <c:pt idx="14">
                  <c:v>2.7409621092120937</c:v>
                </c:pt>
                <c:pt idx="15">
                  <c:v>2.8928352462023943</c:v>
                </c:pt>
                <c:pt idx="16">
                  <c:v>3.075996630817746</c:v>
                </c:pt>
              </c:numCache>
            </c:numRef>
          </c:yVal>
          <c:smooth val="0"/>
        </c:ser>
        <c:axId val="52122083"/>
        <c:axId val="66445564"/>
      </c:scatterChart>
      <c:valAx>
        <c:axId val="5212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 val="autoZero"/>
        <c:crossBetween val="midCat"/>
        <c:dispUnits/>
        <c:majorUnit val="1"/>
      </c:valAx>
      <c:valAx>
        <c:axId val="66445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1220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GA_Data2!$K$4:$K$20</c:f>
              <c:numCache>
                <c:ptCount val="17"/>
                <c:pt idx="0">
                  <c:v>4347</c:v>
                </c:pt>
                <c:pt idx="1">
                  <c:v>5711</c:v>
                </c:pt>
                <c:pt idx="4">
                  <c:v>6153</c:v>
                </c:pt>
                <c:pt idx="5">
                  <c:v>9845</c:v>
                </c:pt>
                <c:pt idx="6">
                  <c:v>5621</c:v>
                </c:pt>
                <c:pt idx="7">
                  <c:v>5927</c:v>
                </c:pt>
                <c:pt idx="8">
                  <c:v>5477</c:v>
                </c:pt>
                <c:pt idx="9">
                  <c:v>5575</c:v>
                </c:pt>
                <c:pt idx="10">
                  <c:v>4894</c:v>
                </c:pt>
                <c:pt idx="11">
                  <c:v>5019</c:v>
                </c:pt>
                <c:pt idx="12">
                  <c:v>4935</c:v>
                </c:pt>
                <c:pt idx="13">
                  <c:v>5059</c:v>
                </c:pt>
                <c:pt idx="15">
                  <c:v>5277</c:v>
                </c:pt>
                <c:pt idx="16">
                  <c:v>6859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GA_Data2!$L$4:$L$20</c:f>
              <c:numCache>
                <c:ptCount val="17"/>
                <c:pt idx="0">
                  <c:v>5303</c:v>
                </c:pt>
                <c:pt idx="1">
                  <c:v>6530</c:v>
                </c:pt>
                <c:pt idx="4">
                  <c:v>8360</c:v>
                </c:pt>
                <c:pt idx="5">
                  <c:v>15713</c:v>
                </c:pt>
                <c:pt idx="6">
                  <c:v>10419</c:v>
                </c:pt>
                <c:pt idx="7">
                  <c:v>11734</c:v>
                </c:pt>
                <c:pt idx="8">
                  <c:v>11071</c:v>
                </c:pt>
                <c:pt idx="9">
                  <c:v>11277</c:v>
                </c:pt>
                <c:pt idx="10">
                  <c:v>10383</c:v>
                </c:pt>
                <c:pt idx="11">
                  <c:v>10173</c:v>
                </c:pt>
                <c:pt idx="12">
                  <c:v>10352</c:v>
                </c:pt>
                <c:pt idx="13">
                  <c:v>9824</c:v>
                </c:pt>
                <c:pt idx="15">
                  <c:v>9955</c:v>
                </c:pt>
                <c:pt idx="16">
                  <c:v>13465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GA_Data2!$M$4:$M$20</c:f>
              <c:numCache>
                <c:ptCount val="17"/>
                <c:pt idx="0">
                  <c:v>1</c:v>
                </c:pt>
                <c:pt idx="1">
                  <c:v>5</c:v>
                </c:pt>
                <c:pt idx="4">
                  <c:v>0</c:v>
                </c:pt>
                <c:pt idx="5">
                  <c:v>196</c:v>
                </c:pt>
                <c:pt idx="6">
                  <c:v>118</c:v>
                </c:pt>
                <c:pt idx="7">
                  <c:v>86</c:v>
                </c:pt>
                <c:pt idx="8">
                  <c:v>79</c:v>
                </c:pt>
                <c:pt idx="9">
                  <c:v>31</c:v>
                </c:pt>
                <c:pt idx="10">
                  <c:v>123</c:v>
                </c:pt>
                <c:pt idx="11">
                  <c:v>156</c:v>
                </c:pt>
                <c:pt idx="12">
                  <c:v>119</c:v>
                </c:pt>
                <c:pt idx="13">
                  <c:v>141</c:v>
                </c:pt>
                <c:pt idx="15">
                  <c:v>174</c:v>
                </c:pt>
                <c:pt idx="16">
                  <c:v>284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GA_Data2!$N$4:$N$20</c:f>
              <c:numCache>
                <c:ptCount val="17"/>
                <c:pt idx="0">
                  <c:v>9651</c:v>
                </c:pt>
                <c:pt idx="1">
                  <c:v>12246</c:v>
                </c:pt>
                <c:pt idx="4">
                  <c:v>14513</c:v>
                </c:pt>
                <c:pt idx="5">
                  <c:v>25754</c:v>
                </c:pt>
                <c:pt idx="6">
                  <c:v>16158</c:v>
                </c:pt>
                <c:pt idx="7">
                  <c:v>17747</c:v>
                </c:pt>
                <c:pt idx="8">
                  <c:v>16627</c:v>
                </c:pt>
                <c:pt idx="9">
                  <c:v>16883</c:v>
                </c:pt>
                <c:pt idx="10">
                  <c:v>15400</c:v>
                </c:pt>
                <c:pt idx="11">
                  <c:v>15348</c:v>
                </c:pt>
                <c:pt idx="12">
                  <c:v>15406</c:v>
                </c:pt>
                <c:pt idx="13">
                  <c:v>15024</c:v>
                </c:pt>
                <c:pt idx="15">
                  <c:v>15406</c:v>
                </c:pt>
                <c:pt idx="16">
                  <c:v>20608</c:v>
                </c:pt>
              </c:numCache>
            </c:numRef>
          </c:yVal>
          <c:smooth val="0"/>
        </c:ser>
        <c:axId val="26706899"/>
        <c:axId val="39035500"/>
      </c:scatterChart>
      <c:valAx>
        <c:axId val="2670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035500"/>
        <c:crosses val="autoZero"/>
        <c:crossBetween val="midCat"/>
        <c:dispUnits/>
        <c:majorUnit val="1"/>
      </c:valAx>
      <c:valAx>
        <c:axId val="3903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GA_Data2!$K$4:$K$20</c:f>
              <c:numCache>
                <c:ptCount val="17"/>
                <c:pt idx="0">
                  <c:v>4347</c:v>
                </c:pt>
                <c:pt idx="1">
                  <c:v>5711</c:v>
                </c:pt>
                <c:pt idx="4">
                  <c:v>6153</c:v>
                </c:pt>
                <c:pt idx="5">
                  <c:v>9845</c:v>
                </c:pt>
                <c:pt idx="6">
                  <c:v>5621</c:v>
                </c:pt>
                <c:pt idx="7">
                  <c:v>5927</c:v>
                </c:pt>
                <c:pt idx="8">
                  <c:v>5477</c:v>
                </c:pt>
                <c:pt idx="9">
                  <c:v>5575</c:v>
                </c:pt>
                <c:pt idx="10">
                  <c:v>4894</c:v>
                </c:pt>
                <c:pt idx="11">
                  <c:v>5019</c:v>
                </c:pt>
                <c:pt idx="12">
                  <c:v>4935</c:v>
                </c:pt>
                <c:pt idx="13">
                  <c:v>5059</c:v>
                </c:pt>
                <c:pt idx="15">
                  <c:v>5277</c:v>
                </c:pt>
                <c:pt idx="16">
                  <c:v>6859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GA_Data2!$L$4:$L$20</c:f>
              <c:numCache>
                <c:ptCount val="17"/>
                <c:pt idx="0">
                  <c:v>5303</c:v>
                </c:pt>
                <c:pt idx="1">
                  <c:v>6530</c:v>
                </c:pt>
                <c:pt idx="4">
                  <c:v>8360</c:v>
                </c:pt>
                <c:pt idx="5">
                  <c:v>15713</c:v>
                </c:pt>
                <c:pt idx="6">
                  <c:v>10419</c:v>
                </c:pt>
                <c:pt idx="7">
                  <c:v>11734</c:v>
                </c:pt>
                <c:pt idx="8">
                  <c:v>11071</c:v>
                </c:pt>
                <c:pt idx="9">
                  <c:v>11277</c:v>
                </c:pt>
                <c:pt idx="10">
                  <c:v>10383</c:v>
                </c:pt>
                <c:pt idx="11">
                  <c:v>10173</c:v>
                </c:pt>
                <c:pt idx="12">
                  <c:v>10352</c:v>
                </c:pt>
                <c:pt idx="13">
                  <c:v>9824</c:v>
                </c:pt>
                <c:pt idx="15">
                  <c:v>9955</c:v>
                </c:pt>
                <c:pt idx="16">
                  <c:v>13465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17</c:v>
                </c:pt>
                <c:pt idx="10">
                  <c:v>11</c:v>
                </c:pt>
                <c:pt idx="11">
                  <c:v>15</c:v>
                </c:pt>
                <c:pt idx="12">
                  <c:v>30</c:v>
                </c:pt>
                <c:pt idx="13">
                  <c:v>22</c:v>
                </c:pt>
                <c:pt idx="14">
                  <c:v>0</c:v>
                </c:pt>
                <c:pt idx="15">
                  <c:v>29</c:v>
                </c:pt>
                <c:pt idx="16">
                  <c:v>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14</c:v>
                </c:pt>
                <c:pt idx="11">
                  <c:v>9</c:v>
                </c:pt>
                <c:pt idx="12">
                  <c:v>4</c:v>
                </c:pt>
                <c:pt idx="13">
                  <c:v>13</c:v>
                </c:pt>
                <c:pt idx="14">
                  <c:v>0</c:v>
                </c:pt>
                <c:pt idx="15">
                  <c:v>11</c:v>
                </c:pt>
                <c:pt idx="16">
                  <c:v>20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GA_Data2!$F$4:$F$20</c:f>
              <c:numCache>
                <c:ptCount val="17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192</c:v>
                </c:pt>
                <c:pt idx="6">
                  <c:v>109</c:v>
                </c:pt>
                <c:pt idx="7">
                  <c:v>77</c:v>
                </c:pt>
                <c:pt idx="8">
                  <c:v>73</c:v>
                </c:pt>
                <c:pt idx="9">
                  <c:v>0</c:v>
                </c:pt>
                <c:pt idx="10">
                  <c:v>98</c:v>
                </c:pt>
                <c:pt idx="11">
                  <c:v>132</c:v>
                </c:pt>
                <c:pt idx="12">
                  <c:v>85</c:v>
                </c:pt>
                <c:pt idx="13">
                  <c:v>106</c:v>
                </c:pt>
                <c:pt idx="14">
                  <c:v>0</c:v>
                </c:pt>
                <c:pt idx="15">
                  <c:v>134</c:v>
                </c:pt>
                <c:pt idx="16">
                  <c:v>249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GA_Data2!$G$3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GA_Data2!$N$3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GA_Data2!$N$4:$N$20</c:f>
              <c:numCache>
                <c:ptCount val="17"/>
                <c:pt idx="0">
                  <c:v>9651</c:v>
                </c:pt>
                <c:pt idx="1">
                  <c:v>12246</c:v>
                </c:pt>
                <c:pt idx="4">
                  <c:v>14513</c:v>
                </c:pt>
                <c:pt idx="5">
                  <c:v>25754</c:v>
                </c:pt>
                <c:pt idx="6">
                  <c:v>16158</c:v>
                </c:pt>
                <c:pt idx="7">
                  <c:v>17747</c:v>
                </c:pt>
                <c:pt idx="8">
                  <c:v>16627</c:v>
                </c:pt>
                <c:pt idx="9">
                  <c:v>16883</c:v>
                </c:pt>
                <c:pt idx="10">
                  <c:v>15400</c:v>
                </c:pt>
                <c:pt idx="11">
                  <c:v>15348</c:v>
                </c:pt>
                <c:pt idx="12">
                  <c:v>15406</c:v>
                </c:pt>
                <c:pt idx="13">
                  <c:v>15024</c:v>
                </c:pt>
                <c:pt idx="15">
                  <c:v>15406</c:v>
                </c:pt>
                <c:pt idx="16">
                  <c:v>20608</c:v>
                </c:pt>
              </c:numCache>
            </c:numRef>
          </c:yVal>
          <c:smooth val="0"/>
        </c:ser>
        <c:axId val="15775181"/>
        <c:axId val="7758902"/>
      </c:scatterChart>
      <c:valAx>
        <c:axId val="1577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7758902"/>
        <c:crosses val="autoZero"/>
        <c:crossBetween val="midCat"/>
        <c:dispUnits/>
        <c:majorUnit val="1"/>
      </c:valAx>
      <c:valAx>
        <c:axId val="775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GA_Data2!$AK$4:$AK$20</c:f>
              <c:numCache>
                <c:ptCount val="17"/>
                <c:pt idx="0">
                  <c:v>106.90802417641227</c:v>
                </c:pt>
                <c:pt idx="1">
                  <c:v>138.1293307511783</c:v>
                </c:pt>
                <c:pt idx="4">
                  <c:v>140.37577268843674</c:v>
                </c:pt>
                <c:pt idx="5">
                  <c:v>221.22019622422403</c:v>
                </c:pt>
                <c:pt idx="6">
                  <c:v>124.74110284805175</c:v>
                </c:pt>
                <c:pt idx="7">
                  <c:v>129.94985737745534</c:v>
                </c:pt>
                <c:pt idx="8">
                  <c:v>118.64917149213734</c:v>
                </c:pt>
                <c:pt idx="9">
                  <c:v>118.94990384793871</c:v>
                </c:pt>
                <c:pt idx="10">
                  <c:v>102.989169091633</c:v>
                </c:pt>
                <c:pt idx="11">
                  <c:v>103.98660916014497</c:v>
                </c:pt>
                <c:pt idx="12">
                  <c:v>100.85608113120672</c:v>
                </c:pt>
                <c:pt idx="13">
                  <c:v>102.03163767333176</c:v>
                </c:pt>
                <c:pt idx="15">
                  <c:v>103.5625355217338</c:v>
                </c:pt>
                <c:pt idx="16">
                  <c:v>132.86278329225803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GA_Data2!$AL$4:$AL$20</c:f>
              <c:numCache>
                <c:ptCount val="17"/>
                <c:pt idx="0">
                  <c:v>344.4419040888755</c:v>
                </c:pt>
                <c:pt idx="1">
                  <c:v>416.4840961115183</c:v>
                </c:pt>
                <c:pt idx="4">
                  <c:v>503.6593624009851</c:v>
                </c:pt>
                <c:pt idx="5">
                  <c:v>930.1524365518593</c:v>
                </c:pt>
                <c:pt idx="6">
                  <c:v>606.6103586622318</c:v>
                </c:pt>
                <c:pt idx="7">
                  <c:v>671.3559742900528</c:v>
                </c:pt>
                <c:pt idx="8">
                  <c:v>617.5346139558026</c:v>
                </c:pt>
                <c:pt idx="9">
                  <c:v>612.3662468199257</c:v>
                </c:pt>
                <c:pt idx="10">
                  <c:v>548.4165218994237</c:v>
                </c:pt>
                <c:pt idx="11">
                  <c:v>521.9591760505243</c:v>
                </c:pt>
                <c:pt idx="12">
                  <c:v>518.1023001800246</c:v>
                </c:pt>
                <c:pt idx="13">
                  <c:v>479.1849173815744</c:v>
                </c:pt>
                <c:pt idx="15">
                  <c:v>460.7981366258375</c:v>
                </c:pt>
                <c:pt idx="16">
                  <c:v>607.7813160846515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GA_Data2!$AR$4:$AR$20</c:f>
              <c:numCache>
                <c:ptCount val="17"/>
                <c:pt idx="0">
                  <c:v>0.8159268929503917</c:v>
                </c:pt>
                <c:pt idx="1">
                  <c:v>3.7723322066634473</c:v>
                </c:pt>
                <c:pt idx="4">
                  <c:v>0</c:v>
                </c:pt>
                <c:pt idx="5">
                  <c:v>111.014822744445</c:v>
                </c:pt>
                <c:pt idx="6">
                  <c:v>62.97397253694384</c:v>
                </c:pt>
                <c:pt idx="7">
                  <c:v>43.49255316458897</c:v>
                </c:pt>
                <c:pt idx="8">
                  <c:v>37.19835197174808</c:v>
                </c:pt>
                <c:pt idx="9">
                  <c:v>13.415151331561955</c:v>
                </c:pt>
                <c:pt idx="10">
                  <c:v>49.42398952050694</c:v>
                </c:pt>
                <c:pt idx="11">
                  <c:v>57.71066241482128</c:v>
                </c:pt>
                <c:pt idx="12">
                  <c:v>40.01802492551267</c:v>
                </c:pt>
                <c:pt idx="13">
                  <c:v>43.543919138015696</c:v>
                </c:pt>
                <c:pt idx="15">
                  <c:v>45.7091218594681</c:v>
                </c:pt>
                <c:pt idx="16">
                  <c:v>69.21157295484676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GA_Data2!$AQ$4:$AQ$20</c:f>
              <c:numCache>
                <c:ptCount val="17"/>
                <c:pt idx="0">
                  <c:v>168.48036333520943</c:v>
                </c:pt>
                <c:pt idx="1">
                  <c:v>209.87283207671274</c:v>
                </c:pt>
                <c:pt idx="4">
                  <c:v>233.76084524365214</c:v>
                </c:pt>
                <c:pt idx="5">
                  <c:v>407.7475517968741</c:v>
                </c:pt>
                <c:pt idx="6">
                  <c:v>252.03206506726082</c:v>
                </c:pt>
                <c:pt idx="7">
                  <c:v>272.756711679388</c:v>
                </c:pt>
                <c:pt idx="8">
                  <c:v>251.11462604128295</c:v>
                </c:pt>
                <c:pt idx="9">
                  <c:v>249.76795531723326</c:v>
                </c:pt>
                <c:pt idx="10">
                  <c:v>223.3796705933138</c:v>
                </c:pt>
                <c:pt idx="11">
                  <c:v>217.82880824309171</c:v>
                </c:pt>
                <c:pt idx="12">
                  <c:v>214.31339724433533</c:v>
                </c:pt>
                <c:pt idx="13">
                  <c:v>204.9036956721868</c:v>
                </c:pt>
                <c:pt idx="15">
                  <c:v>201.74105437003914</c:v>
                </c:pt>
                <c:pt idx="16">
                  <c:v>264.60406972563766</c:v>
                </c:pt>
              </c:numCache>
            </c:numRef>
          </c:yVal>
          <c:smooth val="0"/>
        </c:ser>
        <c:axId val="2721255"/>
        <c:axId val="24491296"/>
      </c:scatterChart>
      <c:valAx>
        <c:axId val="27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491296"/>
        <c:crosses val="autoZero"/>
        <c:crossBetween val="midCat"/>
        <c:dispUnits/>
        <c:majorUnit val="1"/>
      </c:valAx>
      <c:valAx>
        <c:axId val="2449129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GA_Data2!$AK$4:$AK$20</c:f>
              <c:numCache>
                <c:ptCount val="17"/>
                <c:pt idx="0">
                  <c:v>106.90802417641227</c:v>
                </c:pt>
                <c:pt idx="1">
                  <c:v>138.1293307511783</c:v>
                </c:pt>
                <c:pt idx="4">
                  <c:v>140.37577268843674</c:v>
                </c:pt>
                <c:pt idx="5">
                  <c:v>221.22019622422403</c:v>
                </c:pt>
                <c:pt idx="6">
                  <c:v>124.74110284805175</c:v>
                </c:pt>
                <c:pt idx="7">
                  <c:v>129.94985737745534</c:v>
                </c:pt>
                <c:pt idx="8">
                  <c:v>118.64917149213734</c:v>
                </c:pt>
                <c:pt idx="9">
                  <c:v>118.94990384793871</c:v>
                </c:pt>
                <c:pt idx="10">
                  <c:v>102.989169091633</c:v>
                </c:pt>
                <c:pt idx="11">
                  <c:v>103.98660916014497</c:v>
                </c:pt>
                <c:pt idx="12">
                  <c:v>100.85608113120672</c:v>
                </c:pt>
                <c:pt idx="13">
                  <c:v>102.03163767333176</c:v>
                </c:pt>
                <c:pt idx="15">
                  <c:v>103.5625355217338</c:v>
                </c:pt>
                <c:pt idx="16">
                  <c:v>132.86278329225803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GA_Data2!$AL$4:$AL$20</c:f>
              <c:numCache>
                <c:ptCount val="17"/>
                <c:pt idx="0">
                  <c:v>344.4419040888755</c:v>
                </c:pt>
                <c:pt idx="1">
                  <c:v>416.4840961115183</c:v>
                </c:pt>
                <c:pt idx="4">
                  <c:v>503.6593624009851</c:v>
                </c:pt>
                <c:pt idx="5">
                  <c:v>930.1524365518593</c:v>
                </c:pt>
                <c:pt idx="6">
                  <c:v>606.6103586622318</c:v>
                </c:pt>
                <c:pt idx="7">
                  <c:v>671.3559742900528</c:v>
                </c:pt>
                <c:pt idx="8">
                  <c:v>617.5346139558026</c:v>
                </c:pt>
                <c:pt idx="9">
                  <c:v>612.3662468199257</c:v>
                </c:pt>
                <c:pt idx="10">
                  <c:v>548.4165218994237</c:v>
                </c:pt>
                <c:pt idx="11">
                  <c:v>521.9591760505243</c:v>
                </c:pt>
                <c:pt idx="12">
                  <c:v>518.1023001800246</c:v>
                </c:pt>
                <c:pt idx="13">
                  <c:v>479.1849173815744</c:v>
                </c:pt>
                <c:pt idx="15">
                  <c:v>460.7981366258375</c:v>
                </c:pt>
                <c:pt idx="16">
                  <c:v>607.7813160846515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GA_Data2!$AM$4:$AM$20</c:f>
              <c:numCache>
                <c:ptCount val="17"/>
                <c:pt idx="4">
                  <c:v>0</c:v>
                </c:pt>
                <c:pt idx="5">
                  <c:v>33.04419661296985</c:v>
                </c:pt>
                <c:pt idx="6">
                  <c:v>48.18890048992049</c:v>
                </c:pt>
                <c:pt idx="7">
                  <c:v>39.360780917893415</c:v>
                </c:pt>
                <c:pt idx="8">
                  <c:v>39.14200720212932</c:v>
                </c:pt>
                <c:pt idx="9">
                  <c:v>128.49584278155706</c:v>
                </c:pt>
                <c:pt idx="10">
                  <c:v>80.76951318011601</c:v>
                </c:pt>
                <c:pt idx="11">
                  <c:v>107.54229997132205</c:v>
                </c:pt>
                <c:pt idx="12">
                  <c:v>208.7827962975851</c:v>
                </c:pt>
                <c:pt idx="13">
                  <c:v>148.84979702300404</c:v>
                </c:pt>
                <c:pt idx="15">
                  <c:v>186.7714304115412</c:v>
                </c:pt>
                <c:pt idx="16">
                  <c:v>94.53582907922103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GA_Data2!$AN$4:$AN$20</c:f>
              <c:numCache>
                <c:ptCount val="17"/>
                <c:pt idx="4">
                  <c:v>0</c:v>
                </c:pt>
                <c:pt idx="5">
                  <c:v>0</c:v>
                </c:pt>
                <c:pt idx="6">
                  <c:v>4.279600570613409</c:v>
                </c:pt>
                <c:pt idx="7">
                  <c:v>5.334329074760622</c:v>
                </c:pt>
                <c:pt idx="8">
                  <c:v>1.2352083796536475</c:v>
                </c:pt>
                <c:pt idx="9">
                  <c:v>15.789236252086434</c:v>
                </c:pt>
                <c:pt idx="10">
                  <c:v>14.482409045298906</c:v>
                </c:pt>
                <c:pt idx="11">
                  <c:v>8.482403724717724</c:v>
                </c:pt>
                <c:pt idx="12">
                  <c:v>3.460566840848531</c:v>
                </c:pt>
                <c:pt idx="13">
                  <c:v>10.452933656034157</c:v>
                </c:pt>
                <c:pt idx="15">
                  <c:v>7.626760221592051</c:v>
                </c:pt>
                <c:pt idx="16">
                  <c:v>12.911305784910557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GA_Data2!$AO$4:$AO$20</c:f>
              <c:numCache>
                <c:ptCount val="17"/>
                <c:pt idx="0">
                  <c:v>1.3680826321909842</c:v>
                </c:pt>
                <c:pt idx="1">
                  <c:v>6.415355795632426</c:v>
                </c:pt>
                <c:pt idx="4">
                  <c:v>0</c:v>
                </c:pt>
                <c:pt idx="5">
                  <c:v>192.8156100304287</c:v>
                </c:pt>
                <c:pt idx="6">
                  <c:v>103.97985271110772</c:v>
                </c:pt>
                <c:pt idx="7">
                  <c:v>69.97073950893264</c:v>
                </c:pt>
                <c:pt idx="8">
                  <c:v>61.52912519069814</c:v>
                </c:pt>
                <c:pt idx="9">
                  <c:v>0</c:v>
                </c:pt>
                <c:pt idx="10">
                  <c:v>70.71778552305905</c:v>
                </c:pt>
                <c:pt idx="11">
                  <c:v>87.8453921098866</c:v>
                </c:pt>
                <c:pt idx="12">
                  <c:v>50.77385325759069</c:v>
                </c:pt>
                <c:pt idx="13">
                  <c:v>57.4015509249231</c:v>
                </c:pt>
                <c:pt idx="15">
                  <c:v>60.657637430288986</c:v>
                </c:pt>
                <c:pt idx="16">
                  <c:v>103.93795446766235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GA_Data2!$AQ$3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GA_Data2!$AQ$4:$AQ$20</c:f>
              <c:numCache>
                <c:ptCount val="17"/>
                <c:pt idx="0">
                  <c:v>168.48036333520943</c:v>
                </c:pt>
                <c:pt idx="1">
                  <c:v>209.87283207671274</c:v>
                </c:pt>
                <c:pt idx="4">
                  <c:v>233.76084524365214</c:v>
                </c:pt>
                <c:pt idx="5">
                  <c:v>407.7475517968741</c:v>
                </c:pt>
                <c:pt idx="6">
                  <c:v>252.03206506726082</c:v>
                </c:pt>
                <c:pt idx="7">
                  <c:v>272.756711679388</c:v>
                </c:pt>
                <c:pt idx="8">
                  <c:v>251.11462604128295</c:v>
                </c:pt>
                <c:pt idx="9">
                  <c:v>249.76795531723326</c:v>
                </c:pt>
                <c:pt idx="10">
                  <c:v>223.3796705933138</c:v>
                </c:pt>
                <c:pt idx="11">
                  <c:v>217.82880824309171</c:v>
                </c:pt>
                <c:pt idx="12">
                  <c:v>214.31339724433533</c:v>
                </c:pt>
                <c:pt idx="13">
                  <c:v>204.9036956721868</c:v>
                </c:pt>
                <c:pt idx="15">
                  <c:v>201.74105437003914</c:v>
                </c:pt>
                <c:pt idx="16">
                  <c:v>264.60406972563766</c:v>
                </c:pt>
              </c:numCache>
            </c:numRef>
          </c:yVal>
          <c:smooth val="0"/>
        </c:ser>
        <c:axId val="19095073"/>
        <c:axId val="37637930"/>
      </c:scatterChart>
      <c:valAx>
        <c:axId val="1909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637930"/>
        <c:crosses val="autoZero"/>
        <c:crossBetween val="midCat"/>
        <c:dispUnits/>
        <c:majorUnit val="1"/>
      </c:valAx>
      <c:valAx>
        <c:axId val="3763793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GA_Data2!$K$25:$K$41</c:f>
              <c:numCache>
                <c:ptCount val="17"/>
                <c:pt idx="0">
                  <c:v>2675</c:v>
                </c:pt>
                <c:pt idx="1">
                  <c:v>3022</c:v>
                </c:pt>
                <c:pt idx="4">
                  <c:v>3578</c:v>
                </c:pt>
                <c:pt idx="5">
                  <c:v>5930</c:v>
                </c:pt>
                <c:pt idx="6">
                  <c:v>3078</c:v>
                </c:pt>
                <c:pt idx="7">
                  <c:v>3094</c:v>
                </c:pt>
                <c:pt idx="8">
                  <c:v>2693</c:v>
                </c:pt>
                <c:pt idx="9">
                  <c:v>2688</c:v>
                </c:pt>
                <c:pt idx="10">
                  <c:v>2446</c:v>
                </c:pt>
                <c:pt idx="11">
                  <c:v>2616</c:v>
                </c:pt>
                <c:pt idx="12">
                  <c:v>2768</c:v>
                </c:pt>
                <c:pt idx="13">
                  <c:v>2139</c:v>
                </c:pt>
                <c:pt idx="15">
                  <c:v>2251</c:v>
                </c:pt>
                <c:pt idx="16">
                  <c:v>3009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GA_Data2!$L$25:$L$41</c:f>
              <c:numCache>
                <c:ptCount val="17"/>
                <c:pt idx="0">
                  <c:v>3382</c:v>
                </c:pt>
                <c:pt idx="1">
                  <c:v>3818</c:v>
                </c:pt>
                <c:pt idx="4">
                  <c:v>5089</c:v>
                </c:pt>
                <c:pt idx="5">
                  <c:v>9867</c:v>
                </c:pt>
                <c:pt idx="6">
                  <c:v>5927</c:v>
                </c:pt>
                <c:pt idx="7">
                  <c:v>6278</c:v>
                </c:pt>
                <c:pt idx="8">
                  <c:v>5427</c:v>
                </c:pt>
                <c:pt idx="9">
                  <c:v>5381</c:v>
                </c:pt>
                <c:pt idx="10">
                  <c:v>5035</c:v>
                </c:pt>
                <c:pt idx="11">
                  <c:v>5059</c:v>
                </c:pt>
                <c:pt idx="12">
                  <c:v>5488</c:v>
                </c:pt>
                <c:pt idx="13">
                  <c:v>3789</c:v>
                </c:pt>
                <c:pt idx="15">
                  <c:v>3678</c:v>
                </c:pt>
                <c:pt idx="16">
                  <c:v>5224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GA_Data2!$M$25:$M$41</c:f>
              <c:numCache>
                <c:ptCount val="17"/>
                <c:pt idx="0">
                  <c:v>0</c:v>
                </c:pt>
                <c:pt idx="1">
                  <c:v>2</c:v>
                </c:pt>
                <c:pt idx="4">
                  <c:v>0</c:v>
                </c:pt>
                <c:pt idx="5">
                  <c:v>166</c:v>
                </c:pt>
                <c:pt idx="6">
                  <c:v>105</c:v>
                </c:pt>
                <c:pt idx="7">
                  <c:v>72</c:v>
                </c:pt>
                <c:pt idx="8">
                  <c:v>54</c:v>
                </c:pt>
                <c:pt idx="9">
                  <c:v>24</c:v>
                </c:pt>
                <c:pt idx="10">
                  <c:v>97</c:v>
                </c:pt>
                <c:pt idx="11">
                  <c:v>120</c:v>
                </c:pt>
                <c:pt idx="12">
                  <c:v>90</c:v>
                </c:pt>
                <c:pt idx="13">
                  <c:v>106</c:v>
                </c:pt>
                <c:pt idx="15">
                  <c:v>137</c:v>
                </c:pt>
                <c:pt idx="16">
                  <c:v>231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GA_Data2!$N$25:$N$41</c:f>
              <c:numCache>
                <c:ptCount val="17"/>
                <c:pt idx="0">
                  <c:v>6057</c:v>
                </c:pt>
                <c:pt idx="1">
                  <c:v>6842</c:v>
                </c:pt>
                <c:pt idx="4">
                  <c:v>8667</c:v>
                </c:pt>
                <c:pt idx="5">
                  <c:v>15963</c:v>
                </c:pt>
                <c:pt idx="6">
                  <c:v>9110</c:v>
                </c:pt>
                <c:pt idx="7">
                  <c:v>9444</c:v>
                </c:pt>
                <c:pt idx="8">
                  <c:v>8174</c:v>
                </c:pt>
                <c:pt idx="9">
                  <c:v>8093</c:v>
                </c:pt>
                <c:pt idx="10">
                  <c:v>7578</c:v>
                </c:pt>
                <c:pt idx="11">
                  <c:v>7795</c:v>
                </c:pt>
                <c:pt idx="12">
                  <c:v>8346</c:v>
                </c:pt>
                <c:pt idx="13">
                  <c:v>6034</c:v>
                </c:pt>
                <c:pt idx="15">
                  <c:v>6066</c:v>
                </c:pt>
                <c:pt idx="16">
                  <c:v>8464</c:v>
                </c:pt>
              </c:numCache>
            </c:numRef>
          </c:yVal>
          <c:smooth val="0"/>
        </c:ser>
        <c:axId val="3197051"/>
        <c:axId val="28773460"/>
      </c:scatterChart>
      <c:val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 val="autoZero"/>
        <c:crossBetween val="midCat"/>
        <c:dispUnits/>
        <c:majorUnit val="1"/>
      </c:valAx>
      <c:valAx>
        <c:axId val="28773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GEORGIA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GA_Data2!$B$25:$B$41</c:f>
              <c:numCache>
                <c:ptCount val="17"/>
                <c:pt idx="0">
                  <c:v>2675</c:v>
                </c:pt>
                <c:pt idx="1">
                  <c:v>3022</c:v>
                </c:pt>
                <c:pt idx="2">
                  <c:v>0</c:v>
                </c:pt>
                <c:pt idx="3">
                  <c:v>0</c:v>
                </c:pt>
                <c:pt idx="4">
                  <c:v>3578</c:v>
                </c:pt>
                <c:pt idx="5">
                  <c:v>5930</c:v>
                </c:pt>
                <c:pt idx="6">
                  <c:v>3078</c:v>
                </c:pt>
                <c:pt idx="7">
                  <c:v>3094</c:v>
                </c:pt>
                <c:pt idx="8">
                  <c:v>2693</c:v>
                </c:pt>
                <c:pt idx="9">
                  <c:v>2688</c:v>
                </c:pt>
                <c:pt idx="10">
                  <c:v>2446</c:v>
                </c:pt>
                <c:pt idx="11">
                  <c:v>2616</c:v>
                </c:pt>
                <c:pt idx="12">
                  <c:v>2768</c:v>
                </c:pt>
                <c:pt idx="13">
                  <c:v>2139</c:v>
                </c:pt>
                <c:pt idx="14">
                  <c:v>0</c:v>
                </c:pt>
                <c:pt idx="15">
                  <c:v>2251</c:v>
                </c:pt>
                <c:pt idx="16">
                  <c:v>3009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GA_Data2!$C$25:$C$41</c:f>
              <c:numCache>
                <c:ptCount val="17"/>
                <c:pt idx="0">
                  <c:v>3382</c:v>
                </c:pt>
                <c:pt idx="1">
                  <c:v>3818</c:v>
                </c:pt>
                <c:pt idx="2">
                  <c:v>0</c:v>
                </c:pt>
                <c:pt idx="3">
                  <c:v>0</c:v>
                </c:pt>
                <c:pt idx="4">
                  <c:v>5089</c:v>
                </c:pt>
                <c:pt idx="5">
                  <c:v>9867</c:v>
                </c:pt>
                <c:pt idx="6">
                  <c:v>5927</c:v>
                </c:pt>
                <c:pt idx="7">
                  <c:v>6278</c:v>
                </c:pt>
                <c:pt idx="8">
                  <c:v>5427</c:v>
                </c:pt>
                <c:pt idx="9">
                  <c:v>5381</c:v>
                </c:pt>
                <c:pt idx="10">
                  <c:v>5035</c:v>
                </c:pt>
                <c:pt idx="11">
                  <c:v>5059</c:v>
                </c:pt>
                <c:pt idx="12">
                  <c:v>5488</c:v>
                </c:pt>
                <c:pt idx="13">
                  <c:v>3789</c:v>
                </c:pt>
                <c:pt idx="14">
                  <c:v>0</c:v>
                </c:pt>
                <c:pt idx="15">
                  <c:v>3678</c:v>
                </c:pt>
                <c:pt idx="16">
                  <c:v>5224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14</c:v>
                </c:pt>
                <c:pt idx="10">
                  <c:v>8</c:v>
                </c:pt>
                <c:pt idx="11">
                  <c:v>11</c:v>
                </c:pt>
                <c:pt idx="12">
                  <c:v>22</c:v>
                </c:pt>
                <c:pt idx="13">
                  <c:v>13</c:v>
                </c:pt>
                <c:pt idx="14">
                  <c:v>0</c:v>
                </c:pt>
                <c:pt idx="15">
                  <c:v>20</c:v>
                </c:pt>
                <c:pt idx="16">
                  <c:v>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10</c:v>
                </c:pt>
                <c:pt idx="10">
                  <c:v>13</c:v>
                </c:pt>
                <c:pt idx="11">
                  <c:v>8</c:v>
                </c:pt>
                <c:pt idx="12">
                  <c:v>2</c:v>
                </c:pt>
                <c:pt idx="13">
                  <c:v>12</c:v>
                </c:pt>
                <c:pt idx="14">
                  <c:v>0</c:v>
                </c:pt>
                <c:pt idx="15">
                  <c:v>8</c:v>
                </c:pt>
                <c:pt idx="16">
                  <c:v>13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GA_Data2!$F$25:$F$41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164</c:v>
                </c:pt>
                <c:pt idx="6">
                  <c:v>96</c:v>
                </c:pt>
                <c:pt idx="7">
                  <c:v>67</c:v>
                </c:pt>
                <c:pt idx="8">
                  <c:v>49</c:v>
                </c:pt>
                <c:pt idx="9">
                  <c:v>0</c:v>
                </c:pt>
                <c:pt idx="10">
                  <c:v>76</c:v>
                </c:pt>
                <c:pt idx="11">
                  <c:v>101</c:v>
                </c:pt>
                <c:pt idx="12">
                  <c:v>66</c:v>
                </c:pt>
                <c:pt idx="13">
                  <c:v>81</c:v>
                </c:pt>
                <c:pt idx="14">
                  <c:v>0</c:v>
                </c:pt>
                <c:pt idx="15">
                  <c:v>109</c:v>
                </c:pt>
                <c:pt idx="16">
                  <c:v>210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GA_Data2!$G$24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GA_Data2!$N$3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GA_Data2!$H$25:$H$41</c:f>
              <c:numCache>
                <c:ptCount val="17"/>
                <c:pt idx="0">
                  <c:v>6057</c:v>
                </c:pt>
                <c:pt idx="1">
                  <c:v>6842</c:v>
                </c:pt>
                <c:pt idx="4">
                  <c:v>8667</c:v>
                </c:pt>
                <c:pt idx="5">
                  <c:v>15963</c:v>
                </c:pt>
                <c:pt idx="6">
                  <c:v>9110</c:v>
                </c:pt>
                <c:pt idx="7">
                  <c:v>9444</c:v>
                </c:pt>
                <c:pt idx="8">
                  <c:v>8174</c:v>
                </c:pt>
                <c:pt idx="9">
                  <c:v>8093</c:v>
                </c:pt>
                <c:pt idx="10">
                  <c:v>7578</c:v>
                </c:pt>
                <c:pt idx="11">
                  <c:v>7795</c:v>
                </c:pt>
                <c:pt idx="12">
                  <c:v>8346</c:v>
                </c:pt>
                <c:pt idx="13">
                  <c:v>6034</c:v>
                </c:pt>
                <c:pt idx="15">
                  <c:v>6066</c:v>
                </c:pt>
                <c:pt idx="16">
                  <c:v>8464</c:v>
                </c:pt>
              </c:numCache>
            </c:numRef>
          </c:yVal>
          <c:smooth val="0"/>
        </c:ser>
        <c:axId val="57634549"/>
        <c:axId val="48948894"/>
      </c:scatterChart>
      <c:valAx>
        <c:axId val="5763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 val="autoZero"/>
        <c:crossBetween val="midCat"/>
        <c:dispUnits/>
        <c:majorUnit val="1"/>
      </c:valAx>
      <c:valAx>
        <c:axId val="48948894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GA_Data2!$AK$25:$AK$41</c:f>
              <c:numCache>
                <c:ptCount val="17"/>
                <c:pt idx="0">
                  <c:v>65.78766153022839</c:v>
                </c:pt>
                <c:pt idx="1">
                  <c:v>73.09172430923846</c:v>
                </c:pt>
                <c:pt idx="4">
                  <c:v>81.6292076514264</c:v>
                </c:pt>
                <c:pt idx="5">
                  <c:v>133.2489348511578</c:v>
                </c:pt>
                <c:pt idx="6">
                  <c:v>68.30690527776255</c:v>
                </c:pt>
                <c:pt idx="7">
                  <c:v>67.83614960787023</c:v>
                </c:pt>
                <c:pt idx="8">
                  <c:v>58.33891159911008</c:v>
                </c:pt>
                <c:pt idx="9">
                  <c:v>57.35198951448597</c:v>
                </c:pt>
                <c:pt idx="10">
                  <c:v>51.47354057992119</c:v>
                </c:pt>
                <c:pt idx="11">
                  <c:v>54.19983454133079</c:v>
                </c:pt>
                <c:pt idx="12">
                  <c:v>56.56932777531514</c:v>
                </c:pt>
                <c:pt idx="13">
                  <c:v>43.14008163337748</c:v>
                </c:pt>
                <c:pt idx="15">
                  <c:v>44.17647668361243</c:v>
                </c:pt>
                <c:pt idx="16">
                  <c:v>58.28606428435697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GA_Data2!$AL$25:$AL$41</c:f>
              <c:numCache>
                <c:ptCount val="17"/>
                <c:pt idx="0">
                  <c:v>219.6685875218889</c:v>
                </c:pt>
                <c:pt idx="1">
                  <c:v>243.51244700670395</c:v>
                </c:pt>
                <c:pt idx="4">
                  <c:v>306.59359991131737</c:v>
                </c:pt>
                <c:pt idx="5">
                  <c:v>584.0905041339779</c:v>
                </c:pt>
                <c:pt idx="6">
                  <c:v>345.07914346780376</c:v>
                </c:pt>
                <c:pt idx="7">
                  <c:v>359.1931827674239</c:v>
                </c:pt>
                <c:pt idx="8">
                  <c:v>302.7152334873219</c:v>
                </c:pt>
                <c:pt idx="9">
                  <c:v>292.20029920528685</c:v>
                </c:pt>
                <c:pt idx="10">
                  <c:v>265.9421350056437</c:v>
                </c:pt>
                <c:pt idx="11">
                  <c:v>259.56861020737267</c:v>
                </c:pt>
                <c:pt idx="12">
                  <c:v>274.66628896715366</c:v>
                </c:pt>
                <c:pt idx="13">
                  <c:v>184.81592548440403</c:v>
                </c:pt>
                <c:pt idx="15">
                  <c:v>170.247669162213</c:v>
                </c:pt>
                <c:pt idx="16">
                  <c:v>235.8001927386721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GA_Data2!$AR$25:$AR$41</c:f>
              <c:numCache>
                <c:ptCount val="17"/>
                <c:pt idx="0">
                  <c:v>0</c:v>
                </c:pt>
                <c:pt idx="1">
                  <c:v>1.508932882665379</c:v>
                </c:pt>
                <c:pt idx="4">
                  <c:v>0</c:v>
                </c:pt>
                <c:pt idx="5">
                  <c:v>94.02275803866262</c:v>
                </c:pt>
                <c:pt idx="6">
                  <c:v>56.036162003212745</c:v>
                </c:pt>
                <c:pt idx="7">
                  <c:v>36.41237009128379</c:v>
                </c:pt>
                <c:pt idx="8">
                  <c:v>25.42672160094173</c:v>
                </c:pt>
                <c:pt idx="9">
                  <c:v>10.385923611531837</c:v>
                </c:pt>
                <c:pt idx="10">
                  <c:v>38.976642142188396</c:v>
                </c:pt>
                <c:pt idx="11">
                  <c:v>44.39281724217022</c:v>
                </c:pt>
                <c:pt idx="12">
                  <c:v>30.265733136942355</c:v>
                </c:pt>
                <c:pt idx="13">
                  <c:v>32.73514488389832</c:v>
                </c:pt>
                <c:pt idx="15">
                  <c:v>35.98936606176511</c:v>
                </c:pt>
                <c:pt idx="16">
                  <c:v>56.295328706231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GA_Data2!$AQ$25:$AQ$41</c:f>
              <c:numCache>
                <c:ptCount val="17"/>
                <c:pt idx="0">
                  <c:v>105.73884164556662</c:v>
                </c:pt>
                <c:pt idx="1">
                  <c:v>117.25868994519587</c:v>
                </c:pt>
                <c:pt idx="4">
                  <c:v>139.59934167482487</c:v>
                </c:pt>
                <c:pt idx="5">
                  <c:v>252.7325529755961</c:v>
                </c:pt>
                <c:pt idx="6">
                  <c:v>142.09754380262075</c:v>
                </c:pt>
                <c:pt idx="7">
                  <c:v>145.14646898631545</c:v>
                </c:pt>
                <c:pt idx="8">
                  <c:v>123.45046931265092</c:v>
                </c:pt>
                <c:pt idx="9">
                  <c:v>119.728251044386</c:v>
                </c:pt>
                <c:pt idx="10">
                  <c:v>109.92020414000856</c:v>
                </c:pt>
                <c:pt idx="11">
                  <c:v>110.63171489802579</c:v>
                </c:pt>
                <c:pt idx="12">
                  <c:v>116.10149379470485</c:v>
                </c:pt>
                <c:pt idx="13">
                  <c:v>82.29425583639345</c:v>
                </c:pt>
                <c:pt idx="15">
                  <c:v>79.43406697446822</c:v>
                </c:pt>
                <c:pt idx="16">
                  <c:v>108.67667149445832</c:v>
                </c:pt>
              </c:numCache>
            </c:numRef>
          </c:yVal>
          <c:smooth val="0"/>
        </c:ser>
        <c:axId val="37886863"/>
        <c:axId val="5437448"/>
      </c:scatterChart>
      <c:valAx>
        <c:axId val="3788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37448"/>
        <c:crosses val="autoZero"/>
        <c:crossBetween val="midCat"/>
        <c:dispUnits/>
        <c:majorUnit val="1"/>
      </c:valAx>
      <c:valAx>
        <c:axId val="543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GA_Data2!$AK$25:$AK$41</c:f>
              <c:numCache>
                <c:ptCount val="17"/>
                <c:pt idx="0">
                  <c:v>65.78766153022839</c:v>
                </c:pt>
                <c:pt idx="1">
                  <c:v>73.09172430923846</c:v>
                </c:pt>
                <c:pt idx="4">
                  <c:v>81.6292076514264</c:v>
                </c:pt>
                <c:pt idx="5">
                  <c:v>133.2489348511578</c:v>
                </c:pt>
                <c:pt idx="6">
                  <c:v>68.30690527776255</c:v>
                </c:pt>
                <c:pt idx="7">
                  <c:v>67.83614960787023</c:v>
                </c:pt>
                <c:pt idx="8">
                  <c:v>58.33891159911008</c:v>
                </c:pt>
                <c:pt idx="9">
                  <c:v>57.35198951448597</c:v>
                </c:pt>
                <c:pt idx="10">
                  <c:v>51.47354057992119</c:v>
                </c:pt>
                <c:pt idx="11">
                  <c:v>54.19983454133079</c:v>
                </c:pt>
                <c:pt idx="12">
                  <c:v>56.56932777531514</c:v>
                </c:pt>
                <c:pt idx="13">
                  <c:v>43.14008163337748</c:v>
                </c:pt>
                <c:pt idx="15">
                  <c:v>44.17647668361243</c:v>
                </c:pt>
                <c:pt idx="16">
                  <c:v>58.28606428435697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GA_Data2!$AL$25:$AL$41</c:f>
              <c:numCache>
                <c:ptCount val="17"/>
                <c:pt idx="0">
                  <c:v>219.6685875218889</c:v>
                </c:pt>
                <c:pt idx="1">
                  <c:v>243.51244700670395</c:v>
                </c:pt>
                <c:pt idx="4">
                  <c:v>306.59359991131737</c:v>
                </c:pt>
                <c:pt idx="5">
                  <c:v>584.0905041339779</c:v>
                </c:pt>
                <c:pt idx="6">
                  <c:v>345.07914346780376</c:v>
                </c:pt>
                <c:pt idx="7">
                  <c:v>359.1931827674239</c:v>
                </c:pt>
                <c:pt idx="8">
                  <c:v>302.7152334873219</c:v>
                </c:pt>
                <c:pt idx="9">
                  <c:v>292.20029920528685</c:v>
                </c:pt>
                <c:pt idx="10">
                  <c:v>265.9421350056437</c:v>
                </c:pt>
                <c:pt idx="11">
                  <c:v>259.56861020737267</c:v>
                </c:pt>
                <c:pt idx="12">
                  <c:v>274.66628896715366</c:v>
                </c:pt>
                <c:pt idx="13">
                  <c:v>184.81592548440403</c:v>
                </c:pt>
                <c:pt idx="15">
                  <c:v>170.247669162213</c:v>
                </c:pt>
                <c:pt idx="16">
                  <c:v>235.8001927386721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16.522098306484924</c:v>
                </c:pt>
                <c:pt idx="6">
                  <c:v>48.18890048992049</c:v>
                </c:pt>
                <c:pt idx="7">
                  <c:v>23.616468550736045</c:v>
                </c:pt>
                <c:pt idx="8">
                  <c:v>31.31360576170346</c:v>
                </c:pt>
                <c:pt idx="9">
                  <c:v>105.82010582010582</c:v>
                </c:pt>
                <c:pt idx="10">
                  <c:v>58.74146413099346</c:v>
                </c:pt>
                <c:pt idx="11">
                  <c:v>78.86435331230284</c:v>
                </c:pt>
                <c:pt idx="12">
                  <c:v>153.10738395156238</c:v>
                </c:pt>
                <c:pt idx="13">
                  <c:v>87.95669824086603</c:v>
                </c:pt>
                <c:pt idx="15">
                  <c:v>128.8078830424422</c:v>
                </c:pt>
                <c:pt idx="16">
                  <c:v>50.41910884225121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4.279600570613409</c:v>
                </c:pt>
                <c:pt idx="7">
                  <c:v>2.667164537380311</c:v>
                </c:pt>
                <c:pt idx="8">
                  <c:v>1.2352083796536475</c:v>
                </c:pt>
                <c:pt idx="9">
                  <c:v>11.278025894347453</c:v>
                </c:pt>
                <c:pt idx="10">
                  <c:v>13.447951256348984</c:v>
                </c:pt>
                <c:pt idx="11">
                  <c:v>7.539914421971311</c:v>
                </c:pt>
                <c:pt idx="12">
                  <c:v>1.7302834204242654</c:v>
                </c:pt>
                <c:pt idx="13">
                  <c:v>9.648861836339222</c:v>
                </c:pt>
                <c:pt idx="15">
                  <c:v>5.546734706612401</c:v>
                </c:pt>
                <c:pt idx="16">
                  <c:v>8.392348760191862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GA_Data2!$AO$25:$AO$41</c:f>
              <c:numCache>
                <c:ptCount val="17"/>
                <c:pt idx="0">
                  <c:v>0</c:v>
                </c:pt>
                <c:pt idx="1">
                  <c:v>2.5661423182529703</c:v>
                </c:pt>
                <c:pt idx="4">
                  <c:v>0</c:v>
                </c:pt>
                <c:pt idx="5">
                  <c:v>164.69666690099118</c:v>
                </c:pt>
                <c:pt idx="6">
                  <c:v>91.57858587400312</c:v>
                </c:pt>
                <c:pt idx="7">
                  <c:v>60.88363048179852</c:v>
                </c:pt>
                <c:pt idx="8">
                  <c:v>41.30037170334533</c:v>
                </c:pt>
                <c:pt idx="9">
                  <c:v>0</c:v>
                </c:pt>
                <c:pt idx="10">
                  <c:v>54.84236428318865</c:v>
                </c:pt>
                <c:pt idx="11">
                  <c:v>67.2150348719587</c:v>
                </c:pt>
                <c:pt idx="12">
                  <c:v>39.42440370589395</c:v>
                </c:pt>
                <c:pt idx="13">
                  <c:v>43.86344929168652</c:v>
                </c:pt>
                <c:pt idx="15">
                  <c:v>49.34091402911566</c:v>
                </c:pt>
                <c:pt idx="16">
                  <c:v>87.65851581610079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GA_Data2!$AQ$24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GA_Data2!$AQ$25:$AQ$41</c:f>
              <c:numCache>
                <c:ptCount val="17"/>
                <c:pt idx="0">
                  <c:v>105.73884164556662</c:v>
                </c:pt>
                <c:pt idx="1">
                  <c:v>117.25868994519587</c:v>
                </c:pt>
                <c:pt idx="4">
                  <c:v>139.59934167482487</c:v>
                </c:pt>
                <c:pt idx="5">
                  <c:v>252.7325529755961</c:v>
                </c:pt>
                <c:pt idx="6">
                  <c:v>142.09754380262075</c:v>
                </c:pt>
                <c:pt idx="7">
                  <c:v>145.14646898631545</c:v>
                </c:pt>
                <c:pt idx="8">
                  <c:v>123.45046931265092</c:v>
                </c:pt>
                <c:pt idx="9">
                  <c:v>119.728251044386</c:v>
                </c:pt>
                <c:pt idx="10">
                  <c:v>109.92020414000856</c:v>
                </c:pt>
                <c:pt idx="11">
                  <c:v>110.63171489802579</c:v>
                </c:pt>
                <c:pt idx="12">
                  <c:v>116.10149379470485</c:v>
                </c:pt>
                <c:pt idx="13">
                  <c:v>82.29425583639345</c:v>
                </c:pt>
                <c:pt idx="15">
                  <c:v>79.43406697446822</c:v>
                </c:pt>
                <c:pt idx="16">
                  <c:v>108.67667149445832</c:v>
                </c:pt>
              </c:numCache>
            </c:numRef>
          </c:yVal>
          <c:smooth val="0"/>
        </c:ser>
        <c:axId val="48937033"/>
        <c:axId val="37780114"/>
      </c:scatterChart>
      <c:val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 val="autoZero"/>
        <c:crossBetween val="midCat"/>
        <c:dispUnits/>
        <c:majorUnit val="1"/>
      </c:valAx>
      <c:valAx>
        <c:axId val="377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9370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GEORGIA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GA_Data2!$K$69:$K$85</c:f>
              <c:numCache>
                <c:ptCount val="17"/>
                <c:pt idx="0">
                  <c:v>1672</c:v>
                </c:pt>
                <c:pt idx="1">
                  <c:v>2574</c:v>
                </c:pt>
                <c:pt idx="4">
                  <c:v>2419</c:v>
                </c:pt>
                <c:pt idx="5">
                  <c:v>3646</c:v>
                </c:pt>
                <c:pt idx="6">
                  <c:v>2435</c:v>
                </c:pt>
                <c:pt idx="7">
                  <c:v>2769</c:v>
                </c:pt>
                <c:pt idx="8">
                  <c:v>2717</c:v>
                </c:pt>
                <c:pt idx="9">
                  <c:v>2714</c:v>
                </c:pt>
                <c:pt idx="10">
                  <c:v>2157</c:v>
                </c:pt>
                <c:pt idx="11">
                  <c:v>2122</c:v>
                </c:pt>
                <c:pt idx="12">
                  <c:v>2101</c:v>
                </c:pt>
                <c:pt idx="13">
                  <c:v>2899</c:v>
                </c:pt>
                <c:pt idx="15">
                  <c:v>3018</c:v>
                </c:pt>
                <c:pt idx="16">
                  <c:v>3829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GA_Data2!$L$69:$L$85</c:f>
              <c:numCache>
                <c:ptCount val="17"/>
                <c:pt idx="0">
                  <c:v>1921</c:v>
                </c:pt>
                <c:pt idx="1">
                  <c:v>2621</c:v>
                </c:pt>
                <c:pt idx="4">
                  <c:v>3172</c:v>
                </c:pt>
                <c:pt idx="5">
                  <c:v>5701</c:v>
                </c:pt>
                <c:pt idx="6">
                  <c:v>4449</c:v>
                </c:pt>
                <c:pt idx="7">
                  <c:v>5412</c:v>
                </c:pt>
                <c:pt idx="8">
                  <c:v>5605</c:v>
                </c:pt>
                <c:pt idx="9">
                  <c:v>5597</c:v>
                </c:pt>
                <c:pt idx="10">
                  <c:v>4728</c:v>
                </c:pt>
                <c:pt idx="11">
                  <c:v>4538</c:v>
                </c:pt>
                <c:pt idx="12">
                  <c:v>4739</c:v>
                </c:pt>
                <c:pt idx="13">
                  <c:v>5986</c:v>
                </c:pt>
                <c:pt idx="15">
                  <c:v>6238</c:v>
                </c:pt>
                <c:pt idx="16">
                  <c:v>8198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GA_Data2!$M$69:$M$85</c:f>
              <c:numCache>
                <c:ptCount val="17"/>
                <c:pt idx="0">
                  <c:v>1</c:v>
                </c:pt>
                <c:pt idx="4">
                  <c:v>0</c:v>
                </c:pt>
                <c:pt idx="5">
                  <c:v>25</c:v>
                </c:pt>
                <c:pt idx="6">
                  <c:v>11</c:v>
                </c:pt>
                <c:pt idx="7">
                  <c:v>14</c:v>
                </c:pt>
                <c:pt idx="8">
                  <c:v>24</c:v>
                </c:pt>
                <c:pt idx="9">
                  <c:v>7</c:v>
                </c:pt>
                <c:pt idx="10">
                  <c:v>24</c:v>
                </c:pt>
                <c:pt idx="11">
                  <c:v>29</c:v>
                </c:pt>
                <c:pt idx="12">
                  <c:v>29</c:v>
                </c:pt>
                <c:pt idx="13">
                  <c:v>34</c:v>
                </c:pt>
                <c:pt idx="15">
                  <c:v>37</c:v>
                </c:pt>
                <c:pt idx="16">
                  <c:v>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GA_Data2!$N$69:$N$85</c:f>
              <c:numCache>
                <c:ptCount val="17"/>
                <c:pt idx="0">
                  <c:v>3594</c:v>
                </c:pt>
                <c:pt idx="4">
                  <c:v>5591</c:v>
                </c:pt>
                <c:pt idx="5">
                  <c:v>9372</c:v>
                </c:pt>
                <c:pt idx="6">
                  <c:v>6895</c:v>
                </c:pt>
                <c:pt idx="7">
                  <c:v>8195</c:v>
                </c:pt>
                <c:pt idx="8">
                  <c:v>8346</c:v>
                </c:pt>
                <c:pt idx="9">
                  <c:v>8318</c:v>
                </c:pt>
                <c:pt idx="10">
                  <c:v>6909</c:v>
                </c:pt>
                <c:pt idx="11">
                  <c:v>6689</c:v>
                </c:pt>
                <c:pt idx="12">
                  <c:v>6869</c:v>
                </c:pt>
                <c:pt idx="13">
                  <c:v>8919</c:v>
                </c:pt>
                <c:pt idx="15">
                  <c:v>9293</c:v>
                </c:pt>
                <c:pt idx="16">
                  <c:v>12078</c:v>
                </c:pt>
              </c:numCache>
            </c:numRef>
          </c:yVal>
          <c:smooth val="0"/>
        </c:ser>
        <c:axId val="4476707"/>
        <c:axId val="40290364"/>
      </c:scatterChart>
      <c:valAx>
        <c:axId val="447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 val="autoZero"/>
        <c:crossBetween val="midCat"/>
        <c:dispUnits/>
        <c:majorUnit val="1"/>
      </c:valAx>
      <c:valAx>
        <c:axId val="40290364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GA_Data2!$B$69:$B$85</c:f>
              <c:numCache>
                <c:ptCount val="17"/>
                <c:pt idx="0">
                  <c:v>1672</c:v>
                </c:pt>
                <c:pt idx="1">
                  <c:v>2574</c:v>
                </c:pt>
                <c:pt idx="2">
                  <c:v>0</c:v>
                </c:pt>
                <c:pt idx="3">
                  <c:v>0</c:v>
                </c:pt>
                <c:pt idx="4">
                  <c:v>2419</c:v>
                </c:pt>
                <c:pt idx="5">
                  <c:v>3646</c:v>
                </c:pt>
                <c:pt idx="6">
                  <c:v>2435</c:v>
                </c:pt>
                <c:pt idx="7">
                  <c:v>2769</c:v>
                </c:pt>
                <c:pt idx="8">
                  <c:v>2717</c:v>
                </c:pt>
                <c:pt idx="9">
                  <c:v>2714</c:v>
                </c:pt>
                <c:pt idx="10">
                  <c:v>2157</c:v>
                </c:pt>
                <c:pt idx="11">
                  <c:v>2122</c:v>
                </c:pt>
                <c:pt idx="12">
                  <c:v>2101</c:v>
                </c:pt>
                <c:pt idx="13">
                  <c:v>2899</c:v>
                </c:pt>
                <c:pt idx="14">
                  <c:v>0</c:v>
                </c:pt>
                <c:pt idx="15">
                  <c:v>3018</c:v>
                </c:pt>
                <c:pt idx="16">
                  <c:v>3829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GA_Data2!$C$69:$C$85</c:f>
              <c:numCache>
                <c:ptCount val="17"/>
                <c:pt idx="0">
                  <c:v>1921</c:v>
                </c:pt>
                <c:pt idx="1">
                  <c:v>2621</c:v>
                </c:pt>
                <c:pt idx="2">
                  <c:v>0</c:v>
                </c:pt>
                <c:pt idx="3">
                  <c:v>0</c:v>
                </c:pt>
                <c:pt idx="4">
                  <c:v>3172</c:v>
                </c:pt>
                <c:pt idx="5">
                  <c:v>5701</c:v>
                </c:pt>
                <c:pt idx="6">
                  <c:v>4449</c:v>
                </c:pt>
                <c:pt idx="7">
                  <c:v>5412</c:v>
                </c:pt>
                <c:pt idx="8">
                  <c:v>5605</c:v>
                </c:pt>
                <c:pt idx="9">
                  <c:v>5597</c:v>
                </c:pt>
                <c:pt idx="10">
                  <c:v>4728</c:v>
                </c:pt>
                <c:pt idx="11">
                  <c:v>4538</c:v>
                </c:pt>
                <c:pt idx="12">
                  <c:v>4739</c:v>
                </c:pt>
                <c:pt idx="13">
                  <c:v>5986</c:v>
                </c:pt>
                <c:pt idx="14">
                  <c:v>0</c:v>
                </c:pt>
                <c:pt idx="15">
                  <c:v>6238</c:v>
                </c:pt>
                <c:pt idx="16">
                  <c:v>8198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GA_Data2!$D$69:$D$85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8</c:v>
                </c:pt>
                <c:pt idx="13">
                  <c:v>9</c:v>
                </c:pt>
                <c:pt idx="14">
                  <c:v>0</c:v>
                </c:pt>
                <c:pt idx="15">
                  <c:v>9</c:v>
                </c:pt>
                <c:pt idx="16">
                  <c:v>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GA_Data2!$F$69:$F$85</c:f>
              <c:numCache>
                <c:ptCount val="17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11</c:v>
                </c:pt>
                <c:pt idx="7">
                  <c:v>10</c:v>
                </c:pt>
                <c:pt idx="8">
                  <c:v>23</c:v>
                </c:pt>
                <c:pt idx="9">
                  <c:v>0</c:v>
                </c:pt>
                <c:pt idx="10">
                  <c:v>20</c:v>
                </c:pt>
                <c:pt idx="11">
                  <c:v>27</c:v>
                </c:pt>
                <c:pt idx="12">
                  <c:v>19</c:v>
                </c:pt>
                <c:pt idx="13">
                  <c:v>24</c:v>
                </c:pt>
                <c:pt idx="14">
                  <c:v>0</c:v>
                </c:pt>
                <c:pt idx="15">
                  <c:v>25</c:v>
                </c:pt>
                <c:pt idx="16">
                  <c:v>37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GA_Data2!$G$68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GA_Data2!$H$68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GA_Data2!$H$69:$H$85</c:f>
              <c:numCache>
                <c:ptCount val="17"/>
                <c:pt idx="0">
                  <c:v>3594</c:v>
                </c:pt>
                <c:pt idx="4">
                  <c:v>5591</c:v>
                </c:pt>
                <c:pt idx="5">
                  <c:v>9372</c:v>
                </c:pt>
                <c:pt idx="6">
                  <c:v>6895</c:v>
                </c:pt>
                <c:pt idx="7">
                  <c:v>8195</c:v>
                </c:pt>
                <c:pt idx="8">
                  <c:v>8346</c:v>
                </c:pt>
                <c:pt idx="9">
                  <c:v>8318</c:v>
                </c:pt>
                <c:pt idx="10">
                  <c:v>6909</c:v>
                </c:pt>
                <c:pt idx="11">
                  <c:v>6689</c:v>
                </c:pt>
                <c:pt idx="12">
                  <c:v>6869</c:v>
                </c:pt>
                <c:pt idx="13">
                  <c:v>8919</c:v>
                </c:pt>
                <c:pt idx="15">
                  <c:v>9293</c:v>
                </c:pt>
                <c:pt idx="16">
                  <c:v>12078</c:v>
                </c:pt>
              </c:numCache>
            </c:numRef>
          </c:yVal>
          <c:smooth val="0"/>
        </c:ser>
        <c:axId val="27068957"/>
        <c:axId val="42294022"/>
      </c:scatterChart>
      <c:val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crossBetween val="midCat"/>
        <c:dispUnits/>
        <c:majorUnit val="1"/>
      </c:valAx>
      <c:valAx>
        <c:axId val="42294022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GA_Data1!$B$5:$B$21</c:f>
              <c:numCache>
                <c:ptCount val="17"/>
                <c:pt idx="0">
                  <c:v>494</c:v>
                </c:pt>
                <c:pt idx="1">
                  <c:v>499</c:v>
                </c:pt>
                <c:pt idx="4">
                  <c:v>128</c:v>
                </c:pt>
                <c:pt idx="5">
                  <c:v>789</c:v>
                </c:pt>
                <c:pt idx="6">
                  <c:v>717</c:v>
                </c:pt>
                <c:pt idx="7">
                  <c:v>708</c:v>
                </c:pt>
                <c:pt idx="8">
                  <c:v>613</c:v>
                </c:pt>
                <c:pt idx="9">
                  <c:v>676</c:v>
                </c:pt>
                <c:pt idx="10">
                  <c:v>642</c:v>
                </c:pt>
                <c:pt idx="11">
                  <c:v>673</c:v>
                </c:pt>
                <c:pt idx="12">
                  <c:v>645</c:v>
                </c:pt>
                <c:pt idx="13">
                  <c:v>544</c:v>
                </c:pt>
                <c:pt idx="15">
                  <c:v>570</c:v>
                </c:pt>
                <c:pt idx="16">
                  <c:v>726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GA_Data1!$C$5:$C$21</c:f>
              <c:numCache>
                <c:ptCount val="17"/>
                <c:pt idx="0">
                  <c:v>695</c:v>
                </c:pt>
                <c:pt idx="1">
                  <c:v>733</c:v>
                </c:pt>
                <c:pt idx="4">
                  <c:v>250</c:v>
                </c:pt>
                <c:pt idx="5">
                  <c:v>1291</c:v>
                </c:pt>
                <c:pt idx="6">
                  <c:v>1012</c:v>
                </c:pt>
                <c:pt idx="7">
                  <c:v>1022</c:v>
                </c:pt>
                <c:pt idx="8">
                  <c:v>1002</c:v>
                </c:pt>
                <c:pt idx="9">
                  <c:v>1036</c:v>
                </c:pt>
                <c:pt idx="10">
                  <c:v>1020</c:v>
                </c:pt>
                <c:pt idx="11">
                  <c:v>991</c:v>
                </c:pt>
                <c:pt idx="12">
                  <c:v>1047</c:v>
                </c:pt>
                <c:pt idx="13">
                  <c:v>893</c:v>
                </c:pt>
                <c:pt idx="15">
                  <c:v>816</c:v>
                </c:pt>
                <c:pt idx="16">
                  <c:v>1041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GA_Data1!$D$5:$D$21</c:f>
              <c:numCache>
                <c:ptCount val="17"/>
                <c:pt idx="0">
                  <c:v>1189</c:v>
                </c:pt>
                <c:pt idx="1">
                  <c:v>1232</c:v>
                </c:pt>
                <c:pt idx="4">
                  <c:v>378</c:v>
                </c:pt>
                <c:pt idx="5">
                  <c:v>2080</c:v>
                </c:pt>
                <c:pt idx="6">
                  <c:v>1729</c:v>
                </c:pt>
                <c:pt idx="7">
                  <c:v>1730</c:v>
                </c:pt>
                <c:pt idx="8">
                  <c:v>1615</c:v>
                </c:pt>
                <c:pt idx="9">
                  <c:v>1712</c:v>
                </c:pt>
                <c:pt idx="10">
                  <c:v>1662</c:v>
                </c:pt>
                <c:pt idx="11">
                  <c:v>1664</c:v>
                </c:pt>
                <c:pt idx="12">
                  <c:v>1692</c:v>
                </c:pt>
                <c:pt idx="13">
                  <c:v>1437</c:v>
                </c:pt>
                <c:pt idx="15">
                  <c:v>1386</c:v>
                </c:pt>
                <c:pt idx="16">
                  <c:v>1767</c:v>
                </c:pt>
              </c:numCache>
            </c:numRef>
          </c:yVal>
          <c:smooth val="1"/>
        </c:ser>
        <c:axId val="61139165"/>
        <c:axId val="13381574"/>
      </c:scatterChart>
      <c:scatterChart>
        <c:scatterStyle val="lineMarker"/>
        <c:varyColors val="0"/>
        <c:ser>
          <c:idx val="5"/>
          <c:order val="3"/>
          <c:tx>
            <c:strRef>
              <c:f>GA_Data1!$A$23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GA_Data1!$C$28:$C$44</c:f>
              <c:numCache>
                <c:ptCount val="17"/>
                <c:pt idx="0">
                  <c:v>58.4524810765349</c:v>
                </c:pt>
                <c:pt idx="1">
                  <c:v>59.496753246753244</c:v>
                </c:pt>
                <c:pt idx="4">
                  <c:v>66.13756613756614</c:v>
                </c:pt>
                <c:pt idx="5">
                  <c:v>62.06730769230769</c:v>
                </c:pt>
                <c:pt idx="6">
                  <c:v>58.53094274146906</c:v>
                </c:pt>
                <c:pt idx="7">
                  <c:v>59.07514450867052</c:v>
                </c:pt>
                <c:pt idx="8">
                  <c:v>62.04334365325077</c:v>
                </c:pt>
                <c:pt idx="9">
                  <c:v>60.51401869158879</c:v>
                </c:pt>
                <c:pt idx="10">
                  <c:v>61.371841155234655</c:v>
                </c:pt>
                <c:pt idx="11">
                  <c:v>59.55528846153846</c:v>
                </c:pt>
                <c:pt idx="12">
                  <c:v>61.87943262411347</c:v>
                </c:pt>
                <c:pt idx="13">
                  <c:v>62.14335421016005</c:v>
                </c:pt>
                <c:pt idx="15">
                  <c:v>58.87445887445888</c:v>
                </c:pt>
                <c:pt idx="16">
                  <c:v>58.91341256366724</c:v>
                </c:pt>
              </c:numCache>
            </c:numRef>
          </c:yVal>
          <c:smooth val="0"/>
        </c:ser>
        <c:axId val="53325303"/>
        <c:axId val="10165680"/>
      </c:scatterChart>
      <c:valAx>
        <c:axId val="6113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At val="0"/>
        <c:crossBetween val="midCat"/>
        <c:dispUnits/>
        <c:majorUnit val="1"/>
      </c:valAx>
      <c:valAx>
        <c:axId val="133815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crossBetween val="midCat"/>
        <c:dispUnits/>
        <c:majorUnit val="200"/>
      </c:valAx>
      <c:valAx>
        <c:axId val="53325303"/>
        <c:scaling>
          <c:orientation val="minMax"/>
        </c:scaling>
        <c:axPos val="b"/>
        <c:delete val="1"/>
        <c:majorTickMark val="in"/>
        <c:minorTickMark val="none"/>
        <c:tickLblPos val="nextTo"/>
        <c:crossAx val="10165680"/>
        <c:crosses val="max"/>
        <c:crossBetween val="midCat"/>
        <c:dispUnits/>
      </c:valAx>
      <c:valAx>
        <c:axId val="1016568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32530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GEORGIA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GA_Data2!$AK$69:$AK$85</c:f>
              <c:numCache>
                <c:ptCount val="17"/>
                <c:pt idx="0">
                  <c:v>41.12036264618387</c:v>
                </c:pt>
                <c:pt idx="4">
                  <c:v>55.187549834768156</c:v>
                </c:pt>
                <c:pt idx="5">
                  <c:v>81.92674813951456</c:v>
                </c:pt>
                <c:pt idx="6">
                  <c:v>54.03746405177122</c:v>
                </c:pt>
                <c:pt idx="7">
                  <c:v>60.71050364065697</c:v>
                </c:pt>
                <c:pt idx="8">
                  <c:v>58.85882763267065</c:v>
                </c:pt>
                <c:pt idx="9">
                  <c:v>57.906733460682624</c:v>
                </c:pt>
                <c:pt idx="10">
                  <c:v>45.39183443617744</c:v>
                </c:pt>
                <c:pt idx="11">
                  <c:v>43.96485049568194</c:v>
                </c:pt>
                <c:pt idx="12">
                  <c:v>42.93791822830097</c:v>
                </c:pt>
                <c:pt idx="13">
                  <c:v>58.46802087665325</c:v>
                </c:pt>
                <c:pt idx="15">
                  <c:v>59.22905669975225</c:v>
                </c:pt>
                <c:pt idx="16">
                  <c:v>74.1699369042216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GA_Data2!$AL$69:$AL$85</c:f>
              <c:numCache>
                <c:ptCount val="17"/>
                <c:pt idx="0">
                  <c:v>124.77331656698658</c:v>
                </c:pt>
                <c:pt idx="4">
                  <c:v>191.1013753033403</c:v>
                </c:pt>
                <c:pt idx="5">
                  <c:v>337.47845992376693</c:v>
                </c:pt>
                <c:pt idx="6">
                  <c:v>259.0276884238669</c:v>
                </c:pt>
                <c:pt idx="7">
                  <c:v>309.645349655511</c:v>
                </c:pt>
                <c:pt idx="8">
                  <c:v>312.64398078062266</c:v>
                </c:pt>
                <c:pt idx="9">
                  <c:v>303.92958086823836</c:v>
                </c:pt>
                <c:pt idx="10">
                  <c:v>249.72679529427674</c:v>
                </c:pt>
                <c:pt idx="11">
                  <c:v>232.8369940939034</c:v>
                </c:pt>
                <c:pt idx="12">
                  <c:v>237.1799459576059</c:v>
                </c:pt>
                <c:pt idx="13">
                  <c:v>291.978920546224</c:v>
                </c:pt>
                <c:pt idx="15">
                  <c:v>288.745231167451</c:v>
                </c:pt>
                <c:pt idx="16">
                  <c:v>370.0401952663924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GA_Data2!$AR$69:$AR$86</c:f>
              <c:numCache>
                <c:ptCount val="18"/>
                <c:pt idx="0">
                  <c:v>0.8159268929503917</c:v>
                </c:pt>
                <c:pt idx="4">
                  <c:v>0</c:v>
                </c:pt>
                <c:pt idx="5">
                  <c:v>14.160053921485332</c:v>
                </c:pt>
                <c:pt idx="6">
                  <c:v>5.870455067003239</c:v>
                </c:pt>
                <c:pt idx="7">
                  <c:v>7.0801830733051805</c:v>
                </c:pt>
                <c:pt idx="8">
                  <c:v>11.300765155974103</c:v>
                </c:pt>
                <c:pt idx="9">
                  <c:v>3.029227720030119</c:v>
                </c:pt>
                <c:pt idx="10">
                  <c:v>9.643705272294037</c:v>
                </c:pt>
                <c:pt idx="11">
                  <c:v>10.728264166857802</c:v>
                </c:pt>
                <c:pt idx="12">
                  <c:v>9.752291788570314</c:v>
                </c:pt>
                <c:pt idx="13">
                  <c:v>10.49995213257116</c:v>
                </c:pt>
                <c:pt idx="15">
                  <c:v>9.719755797702986</c:v>
                </c:pt>
                <c:pt idx="16">
                  <c:v>12.428838805271777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GA_Data2!$AQ$69:$AQ$85</c:f>
              <c:numCache>
                <c:ptCount val="17"/>
                <c:pt idx="0">
                  <c:v>62.7415216896428</c:v>
                </c:pt>
                <c:pt idx="4">
                  <c:v>90.0542193727871</c:v>
                </c:pt>
                <c:pt idx="5">
                  <c:v>148.3812244870818</c:v>
                </c:pt>
                <c:pt idx="6">
                  <c:v>107.54803123151153</c:v>
                </c:pt>
                <c:pt idx="7">
                  <c:v>125.95037201851493</c:v>
                </c:pt>
                <c:pt idx="8">
                  <c:v>126.04815474472531</c:v>
                </c:pt>
                <c:pt idx="9">
                  <c:v>123.05691241655786</c:v>
                </c:pt>
                <c:pt idx="10">
                  <c:v>100.21624312527305</c:v>
                </c:pt>
                <c:pt idx="11">
                  <c:v>94.93464284193644</c:v>
                </c:pt>
                <c:pt idx="12">
                  <c:v>95.55489586338696</c:v>
                </c:pt>
                <c:pt idx="13">
                  <c:v>121.64111166801347</c:v>
                </c:pt>
                <c:pt idx="15">
                  <c:v>121.6915239686339</c:v>
                </c:pt>
                <c:pt idx="16">
                  <c:v>155.07996671905335</c:v>
                </c:pt>
              </c:numCache>
            </c:numRef>
          </c:yVal>
          <c:smooth val="0"/>
        </c:ser>
        <c:axId val="45101879"/>
        <c:axId val="3263728"/>
      </c:scatterChart>
      <c:val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 val="autoZero"/>
        <c:crossBetween val="midCat"/>
        <c:dispUnits/>
        <c:majorUnit val="1"/>
      </c:valAx>
      <c:valAx>
        <c:axId val="32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GA_Data2!$AK$69:$AK$85</c:f>
              <c:numCache>
                <c:ptCount val="17"/>
                <c:pt idx="0">
                  <c:v>41.12036264618387</c:v>
                </c:pt>
                <c:pt idx="4">
                  <c:v>55.187549834768156</c:v>
                </c:pt>
                <c:pt idx="5">
                  <c:v>81.92674813951456</c:v>
                </c:pt>
                <c:pt idx="6">
                  <c:v>54.03746405177122</c:v>
                </c:pt>
                <c:pt idx="7">
                  <c:v>60.71050364065697</c:v>
                </c:pt>
                <c:pt idx="8">
                  <c:v>58.85882763267065</c:v>
                </c:pt>
                <c:pt idx="9">
                  <c:v>57.906733460682624</c:v>
                </c:pt>
                <c:pt idx="10">
                  <c:v>45.39183443617744</c:v>
                </c:pt>
                <c:pt idx="11">
                  <c:v>43.96485049568194</c:v>
                </c:pt>
                <c:pt idx="12">
                  <c:v>42.93791822830097</c:v>
                </c:pt>
                <c:pt idx="13">
                  <c:v>58.46802087665325</c:v>
                </c:pt>
                <c:pt idx="15">
                  <c:v>59.22905669975225</c:v>
                </c:pt>
                <c:pt idx="16">
                  <c:v>74.1699369042216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GA_Data2!$AL$69:$AL$85</c:f>
              <c:numCache>
                <c:ptCount val="17"/>
                <c:pt idx="0">
                  <c:v>124.77331656698658</c:v>
                </c:pt>
                <c:pt idx="4">
                  <c:v>191.1013753033403</c:v>
                </c:pt>
                <c:pt idx="5">
                  <c:v>337.47845992376693</c:v>
                </c:pt>
                <c:pt idx="6">
                  <c:v>259.0276884238669</c:v>
                </c:pt>
                <c:pt idx="7">
                  <c:v>309.645349655511</c:v>
                </c:pt>
                <c:pt idx="8">
                  <c:v>312.64398078062266</c:v>
                </c:pt>
                <c:pt idx="9">
                  <c:v>303.92958086823836</c:v>
                </c:pt>
                <c:pt idx="10">
                  <c:v>249.72679529427674</c:v>
                </c:pt>
                <c:pt idx="11">
                  <c:v>232.8369940939034</c:v>
                </c:pt>
                <c:pt idx="12">
                  <c:v>237.1799459576059</c:v>
                </c:pt>
                <c:pt idx="13">
                  <c:v>291.978920546224</c:v>
                </c:pt>
                <c:pt idx="15">
                  <c:v>288.745231167451</c:v>
                </c:pt>
                <c:pt idx="16">
                  <c:v>370.0401952663924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GA_Data2!$AM$69:$AM$85</c:f>
              <c:numCache>
                <c:ptCount val="17"/>
                <c:pt idx="0">
                  <c:v>0</c:v>
                </c:pt>
                <c:pt idx="4">
                  <c:v>0</c:v>
                </c:pt>
                <c:pt idx="5">
                  <c:v>16.522098306484924</c:v>
                </c:pt>
                <c:pt idx="6">
                  <c:v>0</c:v>
                </c:pt>
                <c:pt idx="7">
                  <c:v>15.744312367157363</c:v>
                </c:pt>
                <c:pt idx="8">
                  <c:v>7.828401440425865</c:v>
                </c:pt>
                <c:pt idx="9">
                  <c:v>22.67573696145125</c:v>
                </c:pt>
                <c:pt idx="10">
                  <c:v>22.028049049122547</c:v>
                </c:pt>
                <c:pt idx="11">
                  <c:v>14.338973329509606</c:v>
                </c:pt>
                <c:pt idx="12">
                  <c:v>55.67541234602269</c:v>
                </c:pt>
                <c:pt idx="13">
                  <c:v>60.893098782138026</c:v>
                </c:pt>
                <c:pt idx="15">
                  <c:v>57.96354736909899</c:v>
                </c:pt>
                <c:pt idx="16">
                  <c:v>44.11672023696981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GA_Data2!$AN$69:$AN$85</c:f>
              <c:numCache>
                <c:ptCount val="17"/>
                <c:pt idx="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2.667164537380311</c:v>
                </c:pt>
                <c:pt idx="8">
                  <c:v>0</c:v>
                </c:pt>
                <c:pt idx="9">
                  <c:v>4.511210357738982</c:v>
                </c:pt>
                <c:pt idx="10">
                  <c:v>1.034457788949922</c:v>
                </c:pt>
                <c:pt idx="11">
                  <c:v>0</c:v>
                </c:pt>
                <c:pt idx="12">
                  <c:v>1.7302834204242654</c:v>
                </c:pt>
                <c:pt idx="13">
                  <c:v>0.8040718196949351</c:v>
                </c:pt>
                <c:pt idx="15">
                  <c:v>2.0800255149796505</c:v>
                </c:pt>
                <c:pt idx="16">
                  <c:v>4.518957024718695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GA_Data2!$AO$69:$AO$85</c:f>
              <c:numCache>
                <c:ptCount val="17"/>
                <c:pt idx="0">
                  <c:v>1.3680826321909842</c:v>
                </c:pt>
                <c:pt idx="4">
                  <c:v>0</c:v>
                </c:pt>
                <c:pt idx="5">
                  <c:v>23.097703284895108</c:v>
                </c:pt>
                <c:pt idx="6">
                  <c:v>10.493379631396191</c:v>
                </c:pt>
                <c:pt idx="7">
                  <c:v>9.087109027134108</c:v>
                </c:pt>
                <c:pt idx="8">
                  <c:v>19.385888758713115</c:v>
                </c:pt>
                <c:pt idx="9">
                  <c:v>0</c:v>
                </c:pt>
                <c:pt idx="10">
                  <c:v>14.432201127154908</c:v>
                </c:pt>
                <c:pt idx="11">
                  <c:v>17.96837565884044</c:v>
                </c:pt>
                <c:pt idx="12">
                  <c:v>11.349449551696743</c:v>
                </c:pt>
                <c:pt idx="13">
                  <c:v>12.996577567907117</c:v>
                </c:pt>
                <c:pt idx="15">
                  <c:v>11.316723401173318</c:v>
                </c:pt>
                <c:pt idx="16">
                  <c:v>15.444595643789185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GA_Data2!$AQ$24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GA_Data2!$AQ$69:$AQ$85</c:f>
              <c:numCache>
                <c:ptCount val="17"/>
                <c:pt idx="0">
                  <c:v>62.7415216896428</c:v>
                </c:pt>
                <c:pt idx="4">
                  <c:v>90.0542193727871</c:v>
                </c:pt>
                <c:pt idx="5">
                  <c:v>148.3812244870818</c:v>
                </c:pt>
                <c:pt idx="6">
                  <c:v>107.54803123151153</c:v>
                </c:pt>
                <c:pt idx="7">
                  <c:v>125.95037201851493</c:v>
                </c:pt>
                <c:pt idx="8">
                  <c:v>126.04815474472531</c:v>
                </c:pt>
                <c:pt idx="9">
                  <c:v>123.05691241655786</c:v>
                </c:pt>
                <c:pt idx="10">
                  <c:v>100.21624312527305</c:v>
                </c:pt>
                <c:pt idx="11">
                  <c:v>94.93464284193644</c:v>
                </c:pt>
                <c:pt idx="12">
                  <c:v>95.55489586338696</c:v>
                </c:pt>
                <c:pt idx="13">
                  <c:v>121.64111166801347</c:v>
                </c:pt>
                <c:pt idx="15">
                  <c:v>121.6915239686339</c:v>
                </c:pt>
                <c:pt idx="16">
                  <c:v>155.07996671905335</c:v>
                </c:pt>
              </c:numCache>
            </c:numRef>
          </c:yVal>
          <c:smooth val="0"/>
        </c:ser>
        <c:axId val="29373553"/>
        <c:axId val="63035386"/>
      </c:scatterChart>
      <c:val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 val="autoZero"/>
        <c:crossBetween val="midCat"/>
        <c:dispUnits/>
        <c:majorUnit val="1"/>
      </c:valAx>
      <c:valAx>
        <c:axId val="6303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GEORGIA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GA_Data2!$K$90:$K$106</c:f>
              <c:numCache>
                <c:ptCount val="17"/>
                <c:pt idx="1">
                  <c:v>115</c:v>
                </c:pt>
                <c:pt idx="4">
                  <c:v>156</c:v>
                </c:pt>
                <c:pt idx="5">
                  <c:v>269</c:v>
                </c:pt>
                <c:pt idx="6">
                  <c:v>108</c:v>
                </c:pt>
                <c:pt idx="7">
                  <c:v>64</c:v>
                </c:pt>
                <c:pt idx="8">
                  <c:v>67</c:v>
                </c:pt>
                <c:pt idx="9">
                  <c:v>173</c:v>
                </c:pt>
                <c:pt idx="10">
                  <c:v>291</c:v>
                </c:pt>
                <c:pt idx="11">
                  <c:v>281</c:v>
                </c:pt>
                <c:pt idx="12">
                  <c:v>66</c:v>
                </c:pt>
                <c:pt idx="13">
                  <c:v>21</c:v>
                </c:pt>
                <c:pt idx="14">
                  <c:v>0</c:v>
                </c:pt>
                <c:pt idx="16">
                  <c:v>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GA_Data2!$L$90:$L$106</c:f>
              <c:numCache>
                <c:ptCount val="17"/>
                <c:pt idx="1">
                  <c:v>91</c:v>
                </c:pt>
                <c:pt idx="4">
                  <c:v>99</c:v>
                </c:pt>
                <c:pt idx="5">
                  <c:v>145</c:v>
                </c:pt>
                <c:pt idx="6">
                  <c:v>43</c:v>
                </c:pt>
                <c:pt idx="7">
                  <c:v>44</c:v>
                </c:pt>
                <c:pt idx="8">
                  <c:v>39</c:v>
                </c:pt>
                <c:pt idx="9">
                  <c:v>299</c:v>
                </c:pt>
                <c:pt idx="10">
                  <c:v>620</c:v>
                </c:pt>
                <c:pt idx="11">
                  <c:v>576</c:v>
                </c:pt>
                <c:pt idx="12">
                  <c:v>125</c:v>
                </c:pt>
                <c:pt idx="13">
                  <c:v>49</c:v>
                </c:pt>
                <c:pt idx="14">
                  <c:v>0</c:v>
                </c:pt>
                <c:pt idx="16">
                  <c:v>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GA_Data2!$M$90:$M$106</c:f>
              <c:numCache>
                <c:ptCount val="17"/>
                <c:pt idx="1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7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GA_Data2!$N$90:$N$106</c:f>
              <c:numCache>
                <c:ptCount val="17"/>
                <c:pt idx="1">
                  <c:v>206</c:v>
                </c:pt>
                <c:pt idx="4">
                  <c:v>255</c:v>
                </c:pt>
                <c:pt idx="5">
                  <c:v>419</c:v>
                </c:pt>
                <c:pt idx="6">
                  <c:v>153</c:v>
                </c:pt>
                <c:pt idx="7">
                  <c:v>108</c:v>
                </c:pt>
                <c:pt idx="8">
                  <c:v>107</c:v>
                </c:pt>
                <c:pt idx="9">
                  <c:v>472</c:v>
                </c:pt>
                <c:pt idx="10">
                  <c:v>913</c:v>
                </c:pt>
                <c:pt idx="11">
                  <c:v>864</c:v>
                </c:pt>
                <c:pt idx="12">
                  <c:v>191</c:v>
                </c:pt>
                <c:pt idx="13">
                  <c:v>71</c:v>
                </c:pt>
                <c:pt idx="14">
                  <c:v>0</c:v>
                </c:pt>
                <c:pt idx="16">
                  <c:v>66</c:v>
                </c:pt>
              </c:numCache>
            </c:numRef>
          </c:yVal>
          <c:smooth val="0"/>
        </c:ser>
        <c:axId val="30447563"/>
        <c:axId val="5592612"/>
      </c:scatterChart>
      <c:valAx>
        <c:axId val="3044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 val="autoZero"/>
        <c:crossBetween val="midCat"/>
        <c:dispUnits/>
        <c:majorUnit val="1"/>
      </c:valAx>
      <c:valAx>
        <c:axId val="5592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GA_Data2!$B$90:$B$106</c:f>
              <c:numCache>
                <c:ptCount val="17"/>
                <c:pt idx="0">
                  <c:v>0</c:v>
                </c:pt>
                <c:pt idx="1">
                  <c:v>115</c:v>
                </c:pt>
                <c:pt idx="2">
                  <c:v>0</c:v>
                </c:pt>
                <c:pt idx="3">
                  <c:v>0</c:v>
                </c:pt>
                <c:pt idx="4">
                  <c:v>156</c:v>
                </c:pt>
                <c:pt idx="5">
                  <c:v>269</c:v>
                </c:pt>
                <c:pt idx="6">
                  <c:v>108</c:v>
                </c:pt>
                <c:pt idx="7">
                  <c:v>64</c:v>
                </c:pt>
                <c:pt idx="8">
                  <c:v>67</c:v>
                </c:pt>
                <c:pt idx="9">
                  <c:v>173</c:v>
                </c:pt>
                <c:pt idx="10">
                  <c:v>291</c:v>
                </c:pt>
                <c:pt idx="11">
                  <c:v>281</c:v>
                </c:pt>
                <c:pt idx="12">
                  <c:v>66</c:v>
                </c:pt>
                <c:pt idx="13">
                  <c:v>21</c:v>
                </c:pt>
                <c:pt idx="14">
                  <c:v>0</c:v>
                </c:pt>
                <c:pt idx="15">
                  <c:v>8</c:v>
                </c:pt>
                <c:pt idx="16">
                  <c:v>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GA_Data2!$C$90:$C$106</c:f>
              <c:numCache>
                <c:ptCount val="17"/>
                <c:pt idx="0">
                  <c:v>0</c:v>
                </c:pt>
                <c:pt idx="1">
                  <c:v>91</c:v>
                </c:pt>
                <c:pt idx="2">
                  <c:v>0</c:v>
                </c:pt>
                <c:pt idx="3">
                  <c:v>0</c:v>
                </c:pt>
                <c:pt idx="4">
                  <c:v>99</c:v>
                </c:pt>
                <c:pt idx="5">
                  <c:v>145</c:v>
                </c:pt>
                <c:pt idx="6">
                  <c:v>43</c:v>
                </c:pt>
                <c:pt idx="7">
                  <c:v>44</c:v>
                </c:pt>
                <c:pt idx="8">
                  <c:v>39</c:v>
                </c:pt>
                <c:pt idx="9">
                  <c:v>299</c:v>
                </c:pt>
                <c:pt idx="10">
                  <c:v>620</c:v>
                </c:pt>
                <c:pt idx="11">
                  <c:v>576</c:v>
                </c:pt>
                <c:pt idx="12">
                  <c:v>125</c:v>
                </c:pt>
                <c:pt idx="13">
                  <c:v>49</c:v>
                </c:pt>
                <c:pt idx="14">
                  <c:v>0</c:v>
                </c:pt>
                <c:pt idx="15">
                  <c:v>39</c:v>
                </c:pt>
                <c:pt idx="16">
                  <c:v>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GA_Data2!$G$68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GA_Data2!$N$3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GA_Data2!$H$90:$H$106</c:f>
              <c:numCache>
                <c:ptCount val="17"/>
                <c:pt idx="1">
                  <c:v>206</c:v>
                </c:pt>
                <c:pt idx="4">
                  <c:v>255</c:v>
                </c:pt>
                <c:pt idx="5">
                  <c:v>419</c:v>
                </c:pt>
                <c:pt idx="6">
                  <c:v>153</c:v>
                </c:pt>
                <c:pt idx="7">
                  <c:v>108</c:v>
                </c:pt>
                <c:pt idx="8">
                  <c:v>107</c:v>
                </c:pt>
                <c:pt idx="9">
                  <c:v>472</c:v>
                </c:pt>
                <c:pt idx="10">
                  <c:v>913</c:v>
                </c:pt>
                <c:pt idx="11">
                  <c:v>864</c:v>
                </c:pt>
                <c:pt idx="12">
                  <c:v>191</c:v>
                </c:pt>
                <c:pt idx="13">
                  <c:v>71</c:v>
                </c:pt>
                <c:pt idx="14">
                  <c:v>0</c:v>
                </c:pt>
                <c:pt idx="16">
                  <c:v>66</c:v>
                </c:pt>
              </c:numCache>
            </c:numRef>
          </c:yVal>
          <c:smooth val="0"/>
        </c:ser>
        <c:axId val="50333509"/>
        <c:axId val="50348398"/>
      </c:scatterChart>
      <c:val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crossBetween val="midCat"/>
        <c:dispUnits/>
        <c:majorUnit val="1"/>
      </c:valAx>
      <c:valAx>
        <c:axId val="5034839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GEORGIA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GA_Data2!$AK$90:$AK$106</c:f>
              <c:numCache>
                <c:ptCount val="17"/>
                <c:pt idx="1">
                  <c:v>2.7814521163343557</c:v>
                </c:pt>
                <c:pt idx="4">
                  <c:v>3.5590152022421795</c:v>
                </c:pt>
                <c:pt idx="5">
                  <c:v>6.044513233551677</c:v>
                </c:pt>
                <c:pt idx="6">
                  <c:v>2.3967335185179843</c:v>
                </c:pt>
                <c:pt idx="7">
                  <c:v>1.4032041289281494</c:v>
                </c:pt>
                <c:pt idx="8">
                  <c:v>1.451432260356619</c:v>
                </c:pt>
                <c:pt idx="9">
                  <c:v>3.691180872770116</c:v>
                </c:pt>
                <c:pt idx="10">
                  <c:v>6.12379407553437</c:v>
                </c:pt>
                <c:pt idx="11">
                  <c:v>5.821924123132245</c:v>
                </c:pt>
                <c:pt idx="12">
                  <c:v>1.3488351275906065</c:v>
                </c:pt>
                <c:pt idx="13">
                  <c:v>0.42353516330104113</c:v>
                </c:pt>
                <c:pt idx="14">
                  <c:v>0</c:v>
                </c:pt>
                <c:pt idx="16">
                  <c:v>0.4067821036794603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GA_Data2!$AL$90:$AL$106</c:f>
              <c:numCache>
                <c:ptCount val="17"/>
                <c:pt idx="1">
                  <c:v>5.803989700788386</c:v>
                </c:pt>
                <c:pt idx="4">
                  <c:v>5.964387186327455</c:v>
                </c:pt>
                <c:pt idx="5">
                  <c:v>8.583472494114401</c:v>
                </c:pt>
                <c:pt idx="6">
                  <c:v>2.503526770561087</c:v>
                </c:pt>
                <c:pt idx="7">
                  <c:v>2.5174418671179755</c:v>
                </c:pt>
                <c:pt idx="8">
                  <c:v>2.1753996878580346</c:v>
                </c:pt>
                <c:pt idx="9">
                  <c:v>16.23636674640044</c:v>
                </c:pt>
                <c:pt idx="10">
                  <c:v>32.747591599503295</c:v>
                </c:pt>
                <c:pt idx="11">
                  <c:v>29.553571749248206</c:v>
                </c:pt>
                <c:pt idx="12">
                  <c:v>6.25606525526498</c:v>
                </c:pt>
                <c:pt idx="13">
                  <c:v>2.3900713509463705</c:v>
                </c:pt>
                <c:pt idx="14">
                  <c:v>0</c:v>
                </c:pt>
                <c:pt idx="16">
                  <c:v>1.9409280795870787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GA_Data2!$AR$90:$AR$106</c:f>
              <c:numCache>
                <c:ptCount val="17"/>
                <c:pt idx="1">
                  <c:v>0</c:v>
                </c:pt>
                <c:pt idx="4">
                  <c:v>0</c:v>
                </c:pt>
                <c:pt idx="5">
                  <c:v>2.8320107842970663</c:v>
                </c:pt>
                <c:pt idx="6">
                  <c:v>1.0673554667278617</c:v>
                </c:pt>
                <c:pt idx="7">
                  <c:v>0</c:v>
                </c:pt>
                <c:pt idx="8">
                  <c:v>0.47086521483225424</c:v>
                </c:pt>
                <c:pt idx="9">
                  <c:v>0</c:v>
                </c:pt>
                <c:pt idx="10">
                  <c:v>0.8036421060245031</c:v>
                </c:pt>
                <c:pt idx="11">
                  <c:v>2.5895810057932627</c:v>
                </c:pt>
                <c:pt idx="12">
                  <c:v>0</c:v>
                </c:pt>
                <c:pt idx="13">
                  <c:v>0.3088221215462106</c:v>
                </c:pt>
                <c:pt idx="14">
                  <c:v>0</c:v>
                </c:pt>
                <c:pt idx="16">
                  <c:v>0.4874054433439912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GA_Data2!$AQ$90:$AQ$106</c:f>
              <c:numCache>
                <c:ptCount val="17"/>
                <c:pt idx="1">
                  <c:v>3.5304428717787713</c:v>
                </c:pt>
                <c:pt idx="4">
                  <c:v>4.107284196040191</c:v>
                </c:pt>
                <c:pt idx="5">
                  <c:v>6.633774334196251</c:v>
                </c:pt>
                <c:pt idx="6">
                  <c:v>2.3864900331285375</c:v>
                </c:pt>
                <c:pt idx="7">
                  <c:v>1.65987067455761</c:v>
                </c:pt>
                <c:pt idx="8">
                  <c:v>1.6160019839067348</c:v>
                </c:pt>
                <c:pt idx="9">
                  <c:v>6.982791856289409</c:v>
                </c:pt>
                <c:pt idx="10">
                  <c:v>13.243223328032178</c:v>
                </c:pt>
                <c:pt idx="11">
                  <c:v>12.26245050312948</c:v>
                </c:pt>
                <c:pt idx="12">
                  <c:v>2.657007586243545</c:v>
                </c:pt>
                <c:pt idx="13">
                  <c:v>0.9683281677799032</c:v>
                </c:pt>
                <c:pt idx="14">
                  <c:v>0</c:v>
                </c:pt>
                <c:pt idx="16">
                  <c:v>0.8474315121259745</c:v>
                </c:pt>
              </c:numCache>
            </c:numRef>
          </c:yVal>
          <c:smooth val="0"/>
        </c:ser>
        <c:axId val="50482399"/>
        <c:axId val="51688408"/>
      </c:scatterChart>
      <c:val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 val="autoZero"/>
        <c:crossBetween val="midCat"/>
        <c:dispUnits/>
        <c:majorUnit val="1"/>
      </c:valAx>
      <c:valAx>
        <c:axId val="51688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GA_Data2!$AK$90:$AK$106</c:f>
              <c:numCache>
                <c:ptCount val="17"/>
                <c:pt idx="1">
                  <c:v>2.7814521163343557</c:v>
                </c:pt>
                <c:pt idx="4">
                  <c:v>3.5590152022421795</c:v>
                </c:pt>
                <c:pt idx="5">
                  <c:v>6.044513233551677</c:v>
                </c:pt>
                <c:pt idx="6">
                  <c:v>2.3967335185179843</c:v>
                </c:pt>
                <c:pt idx="7">
                  <c:v>1.4032041289281494</c:v>
                </c:pt>
                <c:pt idx="8">
                  <c:v>1.451432260356619</c:v>
                </c:pt>
                <c:pt idx="9">
                  <c:v>3.691180872770116</c:v>
                </c:pt>
                <c:pt idx="10">
                  <c:v>6.12379407553437</c:v>
                </c:pt>
                <c:pt idx="11">
                  <c:v>5.821924123132245</c:v>
                </c:pt>
                <c:pt idx="12">
                  <c:v>1.3488351275906065</c:v>
                </c:pt>
                <c:pt idx="13">
                  <c:v>0.42353516330104113</c:v>
                </c:pt>
                <c:pt idx="14">
                  <c:v>0</c:v>
                </c:pt>
                <c:pt idx="16">
                  <c:v>0.4067821036794603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GA_Data2!$AL$90:$AL$106</c:f>
              <c:numCache>
                <c:ptCount val="17"/>
                <c:pt idx="1">
                  <c:v>5.803989700788386</c:v>
                </c:pt>
                <c:pt idx="4">
                  <c:v>5.964387186327455</c:v>
                </c:pt>
                <c:pt idx="5">
                  <c:v>8.583472494114401</c:v>
                </c:pt>
                <c:pt idx="6">
                  <c:v>2.503526770561087</c:v>
                </c:pt>
                <c:pt idx="7">
                  <c:v>2.5174418671179755</c:v>
                </c:pt>
                <c:pt idx="8">
                  <c:v>2.1753996878580346</c:v>
                </c:pt>
                <c:pt idx="9">
                  <c:v>16.23636674640044</c:v>
                </c:pt>
                <c:pt idx="10">
                  <c:v>32.747591599503295</c:v>
                </c:pt>
                <c:pt idx="11">
                  <c:v>29.553571749248206</c:v>
                </c:pt>
                <c:pt idx="12">
                  <c:v>6.25606525526498</c:v>
                </c:pt>
                <c:pt idx="13">
                  <c:v>2.3900713509463705</c:v>
                </c:pt>
                <c:pt idx="14">
                  <c:v>0</c:v>
                </c:pt>
                <c:pt idx="16">
                  <c:v>1.9409280795870787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GA_Data2!$AM$90:$AM$106</c:f>
              <c:numCache>
                <c:ptCount val="17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14.338973329509606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GA_Data2!$AN$90:$AN$106</c:f>
              <c:numCache>
                <c:ptCount val="17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0.9424893027464138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GA_Data2!$AO$90:$AO$106</c:f>
              <c:numCache>
                <c:ptCount val="17"/>
                <c:pt idx="1">
                  <c:v>0</c:v>
                </c:pt>
                <c:pt idx="4">
                  <c:v>0</c:v>
                </c:pt>
                <c:pt idx="5">
                  <c:v>5.021239844542414</c:v>
                </c:pt>
                <c:pt idx="6">
                  <c:v>1.9078872057083984</c:v>
                </c:pt>
                <c:pt idx="7">
                  <c:v>0</c:v>
                </c:pt>
                <c:pt idx="8">
                  <c:v>0.8428647286397006</c:v>
                </c:pt>
                <c:pt idx="9">
                  <c:v>0</c:v>
                </c:pt>
                <c:pt idx="10">
                  <c:v>1.4432201127154909</c:v>
                </c:pt>
                <c:pt idx="11">
                  <c:v>2.6619815790874726</c:v>
                </c:pt>
                <c:pt idx="12">
                  <c:v>0</c:v>
                </c:pt>
                <c:pt idx="13">
                  <c:v>0.5415240653294632</c:v>
                </c:pt>
                <c:pt idx="14">
                  <c:v>0</c:v>
                </c:pt>
                <c:pt idx="16">
                  <c:v>0.8348430077723884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GA_Data2!$AQ$24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GA_Data2!$AQ$90:$AQ$105</c:f>
              <c:numCache>
                <c:ptCount val="16"/>
                <c:pt idx="1">
                  <c:v>3.5304428717787713</c:v>
                </c:pt>
                <c:pt idx="4">
                  <c:v>4.107284196040191</c:v>
                </c:pt>
                <c:pt idx="5">
                  <c:v>6.633774334196251</c:v>
                </c:pt>
                <c:pt idx="6">
                  <c:v>2.3864900331285375</c:v>
                </c:pt>
                <c:pt idx="7">
                  <c:v>1.65987067455761</c:v>
                </c:pt>
                <c:pt idx="8">
                  <c:v>1.6160019839067348</c:v>
                </c:pt>
                <c:pt idx="9">
                  <c:v>6.982791856289409</c:v>
                </c:pt>
                <c:pt idx="10">
                  <c:v>13.243223328032178</c:v>
                </c:pt>
                <c:pt idx="11">
                  <c:v>12.26245050312948</c:v>
                </c:pt>
                <c:pt idx="12">
                  <c:v>2.657007586243545</c:v>
                </c:pt>
                <c:pt idx="13">
                  <c:v>0.9683281677799032</c:v>
                </c:pt>
                <c:pt idx="14">
                  <c:v>0</c:v>
                </c:pt>
              </c:numCache>
            </c:numRef>
          </c:yVal>
          <c:smooth val="0"/>
        </c:ser>
        <c:axId val="62542489"/>
        <c:axId val="26011490"/>
      </c:scatterChart>
      <c:val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 val="autoZero"/>
        <c:crossBetween val="midCat"/>
        <c:dispUnits/>
        <c:majorUnit val="1"/>
      </c:valAx>
      <c:valAx>
        <c:axId val="26011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GEORGIA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GA_Data2!$K$47:$K$63</c:f>
              <c:numCache>
                <c:ptCount val="17"/>
                <c:pt idx="0">
                  <c:v>1672</c:v>
                </c:pt>
                <c:pt idx="1">
                  <c:v>2689</c:v>
                </c:pt>
                <c:pt idx="4">
                  <c:v>2575</c:v>
                </c:pt>
                <c:pt idx="5">
                  <c:v>3915</c:v>
                </c:pt>
                <c:pt idx="6">
                  <c:v>2543</c:v>
                </c:pt>
                <c:pt idx="7">
                  <c:v>2833</c:v>
                </c:pt>
                <c:pt idx="8">
                  <c:v>2784</c:v>
                </c:pt>
                <c:pt idx="9">
                  <c:v>2887</c:v>
                </c:pt>
                <c:pt idx="10">
                  <c:v>2448</c:v>
                </c:pt>
                <c:pt idx="11">
                  <c:v>2403</c:v>
                </c:pt>
                <c:pt idx="12">
                  <c:v>2167</c:v>
                </c:pt>
                <c:pt idx="13">
                  <c:v>2920</c:v>
                </c:pt>
                <c:pt idx="15">
                  <c:v>3026</c:v>
                </c:pt>
                <c:pt idx="16">
                  <c:v>3850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GA_Data2!$L$47:$L$63</c:f>
              <c:numCache>
                <c:ptCount val="17"/>
                <c:pt idx="0">
                  <c:v>1921</c:v>
                </c:pt>
                <c:pt idx="1">
                  <c:v>2712</c:v>
                </c:pt>
                <c:pt idx="4">
                  <c:v>3271</c:v>
                </c:pt>
                <c:pt idx="5">
                  <c:v>5846</c:v>
                </c:pt>
                <c:pt idx="6">
                  <c:v>4492</c:v>
                </c:pt>
                <c:pt idx="7">
                  <c:v>5456</c:v>
                </c:pt>
                <c:pt idx="8">
                  <c:v>5644</c:v>
                </c:pt>
                <c:pt idx="9">
                  <c:v>5896</c:v>
                </c:pt>
                <c:pt idx="10">
                  <c:v>5348</c:v>
                </c:pt>
                <c:pt idx="11">
                  <c:v>5114</c:v>
                </c:pt>
                <c:pt idx="12">
                  <c:v>4864</c:v>
                </c:pt>
                <c:pt idx="13">
                  <c:v>6035</c:v>
                </c:pt>
                <c:pt idx="15">
                  <c:v>6277</c:v>
                </c:pt>
                <c:pt idx="16">
                  <c:v>8241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GA_Data2!$M$47:$M$63</c:f>
              <c:numCache>
                <c:ptCount val="17"/>
                <c:pt idx="0">
                  <c:v>1</c:v>
                </c:pt>
                <c:pt idx="1">
                  <c:v>3</c:v>
                </c:pt>
                <c:pt idx="4">
                  <c:v>0</c:v>
                </c:pt>
                <c:pt idx="5">
                  <c:v>30</c:v>
                </c:pt>
                <c:pt idx="6">
                  <c:v>13</c:v>
                </c:pt>
                <c:pt idx="7">
                  <c:v>14</c:v>
                </c:pt>
                <c:pt idx="8">
                  <c:v>25</c:v>
                </c:pt>
                <c:pt idx="9">
                  <c:v>7</c:v>
                </c:pt>
                <c:pt idx="10">
                  <c:v>26</c:v>
                </c:pt>
                <c:pt idx="11">
                  <c:v>36</c:v>
                </c:pt>
                <c:pt idx="12">
                  <c:v>29</c:v>
                </c:pt>
                <c:pt idx="13">
                  <c:v>35</c:v>
                </c:pt>
                <c:pt idx="15">
                  <c:v>37</c:v>
                </c:pt>
                <c:pt idx="16">
                  <c:v>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GA_Data2!$N$47:$N$63</c:f>
              <c:numCache>
                <c:ptCount val="17"/>
                <c:pt idx="0">
                  <c:v>3594</c:v>
                </c:pt>
                <c:pt idx="1">
                  <c:v>5404</c:v>
                </c:pt>
                <c:pt idx="4">
                  <c:v>5846</c:v>
                </c:pt>
                <c:pt idx="5">
                  <c:v>9791</c:v>
                </c:pt>
                <c:pt idx="6">
                  <c:v>7048</c:v>
                </c:pt>
                <c:pt idx="7">
                  <c:v>8303</c:v>
                </c:pt>
                <c:pt idx="8">
                  <c:v>8453</c:v>
                </c:pt>
                <c:pt idx="9">
                  <c:v>8790</c:v>
                </c:pt>
                <c:pt idx="10">
                  <c:v>7822</c:v>
                </c:pt>
                <c:pt idx="11">
                  <c:v>7553</c:v>
                </c:pt>
                <c:pt idx="12">
                  <c:v>7060</c:v>
                </c:pt>
                <c:pt idx="13">
                  <c:v>8990</c:v>
                </c:pt>
                <c:pt idx="15">
                  <c:v>9340</c:v>
                </c:pt>
                <c:pt idx="16">
                  <c:v>12144</c:v>
                </c:pt>
              </c:numCache>
            </c:numRef>
          </c:yVal>
          <c:smooth val="0"/>
        </c:ser>
        <c:axId val="32776819"/>
        <c:axId val="26555916"/>
      </c:scatterChart>
      <c:val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crossBetween val="midCat"/>
        <c:dispUnits/>
        <c:majorUnit val="1"/>
      </c:valAx>
      <c:valAx>
        <c:axId val="26555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GA_Data2!$B$47:$B$63</c:f>
              <c:numCache>
                <c:ptCount val="17"/>
                <c:pt idx="0">
                  <c:v>1672</c:v>
                </c:pt>
                <c:pt idx="1">
                  <c:v>2689</c:v>
                </c:pt>
                <c:pt idx="4">
                  <c:v>2575</c:v>
                </c:pt>
                <c:pt idx="5">
                  <c:v>3915</c:v>
                </c:pt>
                <c:pt idx="6">
                  <c:v>2543</c:v>
                </c:pt>
                <c:pt idx="7">
                  <c:v>2833</c:v>
                </c:pt>
                <c:pt idx="8">
                  <c:v>2784</c:v>
                </c:pt>
                <c:pt idx="9">
                  <c:v>2887</c:v>
                </c:pt>
                <c:pt idx="10">
                  <c:v>2448</c:v>
                </c:pt>
                <c:pt idx="11">
                  <c:v>2403</c:v>
                </c:pt>
                <c:pt idx="12">
                  <c:v>2167</c:v>
                </c:pt>
                <c:pt idx="13">
                  <c:v>2920</c:v>
                </c:pt>
                <c:pt idx="15">
                  <c:v>3026</c:v>
                </c:pt>
                <c:pt idx="16">
                  <c:v>3850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GA_Data2!$C$47:$C$63</c:f>
              <c:numCache>
                <c:ptCount val="17"/>
                <c:pt idx="0">
                  <c:v>1921</c:v>
                </c:pt>
                <c:pt idx="1">
                  <c:v>2712</c:v>
                </c:pt>
                <c:pt idx="4">
                  <c:v>3271</c:v>
                </c:pt>
                <c:pt idx="5">
                  <c:v>5846</c:v>
                </c:pt>
                <c:pt idx="6">
                  <c:v>4492</c:v>
                </c:pt>
                <c:pt idx="7">
                  <c:v>5456</c:v>
                </c:pt>
                <c:pt idx="8">
                  <c:v>5644</c:v>
                </c:pt>
                <c:pt idx="9">
                  <c:v>5896</c:v>
                </c:pt>
                <c:pt idx="10">
                  <c:v>5348</c:v>
                </c:pt>
                <c:pt idx="11">
                  <c:v>5114</c:v>
                </c:pt>
                <c:pt idx="12">
                  <c:v>4864</c:v>
                </c:pt>
                <c:pt idx="13">
                  <c:v>6035</c:v>
                </c:pt>
                <c:pt idx="15">
                  <c:v>6277</c:v>
                </c:pt>
                <c:pt idx="16">
                  <c:v>8241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8</c:v>
                </c:pt>
                <c:pt idx="13">
                  <c:v>9</c:v>
                </c:pt>
                <c:pt idx="15">
                  <c:v>9</c:v>
                </c:pt>
                <c:pt idx="16">
                  <c:v>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3</c:v>
                </c:pt>
                <c:pt idx="16">
                  <c:v>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GA_Data2!$F$47:$F$63</c:f>
              <c:numCache>
                <c:ptCount val="17"/>
                <c:pt idx="0">
                  <c:v>1</c:v>
                </c:pt>
                <c:pt idx="1">
                  <c:v>3</c:v>
                </c:pt>
                <c:pt idx="4">
                  <c:v>0</c:v>
                </c:pt>
                <c:pt idx="5">
                  <c:v>28</c:v>
                </c:pt>
                <c:pt idx="6">
                  <c:v>13</c:v>
                </c:pt>
                <c:pt idx="7">
                  <c:v>10</c:v>
                </c:pt>
                <c:pt idx="8">
                  <c:v>24</c:v>
                </c:pt>
                <c:pt idx="9">
                  <c:v>0</c:v>
                </c:pt>
                <c:pt idx="10">
                  <c:v>22</c:v>
                </c:pt>
                <c:pt idx="11">
                  <c:v>31</c:v>
                </c:pt>
                <c:pt idx="12">
                  <c:v>19</c:v>
                </c:pt>
                <c:pt idx="13">
                  <c:v>25</c:v>
                </c:pt>
                <c:pt idx="15">
                  <c:v>25</c:v>
                </c:pt>
                <c:pt idx="16">
                  <c:v>39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GA_Data2!$G$46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GA_Data2!$H$46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GA_Data2!$H$47:$H$63</c:f>
              <c:numCache>
                <c:ptCount val="17"/>
                <c:pt idx="0">
                  <c:v>3594</c:v>
                </c:pt>
                <c:pt idx="1">
                  <c:v>5404</c:v>
                </c:pt>
                <c:pt idx="4">
                  <c:v>5846</c:v>
                </c:pt>
                <c:pt idx="5">
                  <c:v>9791</c:v>
                </c:pt>
                <c:pt idx="6">
                  <c:v>7048</c:v>
                </c:pt>
                <c:pt idx="7">
                  <c:v>8303</c:v>
                </c:pt>
                <c:pt idx="8">
                  <c:v>8453</c:v>
                </c:pt>
                <c:pt idx="9">
                  <c:v>8790</c:v>
                </c:pt>
                <c:pt idx="10">
                  <c:v>7822</c:v>
                </c:pt>
                <c:pt idx="11">
                  <c:v>7553</c:v>
                </c:pt>
                <c:pt idx="12">
                  <c:v>7060</c:v>
                </c:pt>
                <c:pt idx="13">
                  <c:v>8990</c:v>
                </c:pt>
                <c:pt idx="15">
                  <c:v>9340</c:v>
                </c:pt>
                <c:pt idx="16">
                  <c:v>12144</c:v>
                </c:pt>
              </c:numCache>
            </c:numRef>
          </c:yVal>
          <c:smooth val="0"/>
        </c:ser>
        <c:axId val="37676653"/>
        <c:axId val="3545558"/>
      </c:scatterChart>
      <c:valAx>
        <c:axId val="3767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 val="autoZero"/>
        <c:crossBetween val="midCat"/>
        <c:dispUnits/>
        <c:majorUnit val="1"/>
      </c:valAx>
      <c:valAx>
        <c:axId val="3545558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GEORGIA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GA_Data2!$AK$47:$AK$63</c:f>
              <c:numCache>
                <c:ptCount val="17"/>
                <c:pt idx="0">
                  <c:v>41.12036264618387</c:v>
                </c:pt>
                <c:pt idx="1">
                  <c:v>65.03760644193984</c:v>
                </c:pt>
                <c:pt idx="4">
                  <c:v>58.746565037010335</c:v>
                </c:pt>
                <c:pt idx="5">
                  <c:v>87.97126137306624</c:v>
                </c:pt>
                <c:pt idx="6">
                  <c:v>56.43419757028921</c:v>
                </c:pt>
                <c:pt idx="7">
                  <c:v>62.113707769585105</c:v>
                </c:pt>
                <c:pt idx="8">
                  <c:v>60.31025989302728</c:v>
                </c:pt>
                <c:pt idx="9">
                  <c:v>61.59791433345274</c:v>
                </c:pt>
                <c:pt idx="10">
                  <c:v>51.51562851171181</c:v>
                </c:pt>
                <c:pt idx="11">
                  <c:v>49.78677461881418</c:v>
                </c:pt>
                <c:pt idx="12">
                  <c:v>44.28675335589158</c:v>
                </c:pt>
                <c:pt idx="13">
                  <c:v>58.891556039954295</c:v>
                </c:pt>
                <c:pt idx="15">
                  <c:v>59.38605883812137</c:v>
                </c:pt>
                <c:pt idx="16">
                  <c:v>74.57671900790106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GA_Data2!$AL$47:$AL$63</c:f>
              <c:numCache>
                <c:ptCount val="17"/>
                <c:pt idx="0">
                  <c:v>124.77331656698658</c:v>
                </c:pt>
                <c:pt idx="1">
                  <c:v>172.97164910481433</c:v>
                </c:pt>
                <c:pt idx="4">
                  <c:v>197.06576248966775</c:v>
                </c:pt>
                <c:pt idx="5">
                  <c:v>346.06193241788134</c:v>
                </c:pt>
                <c:pt idx="6">
                  <c:v>261.53121519442794</c:v>
                </c:pt>
                <c:pt idx="7">
                  <c:v>312.16279152262894</c:v>
                </c:pt>
                <c:pt idx="8">
                  <c:v>314.8193804684807</c:v>
                </c:pt>
                <c:pt idx="9">
                  <c:v>320.1659476146388</c:v>
                </c:pt>
                <c:pt idx="10">
                  <c:v>282.47438689378</c:v>
                </c:pt>
                <c:pt idx="11">
                  <c:v>262.3905658431516</c:v>
                </c:pt>
                <c:pt idx="12">
                  <c:v>243.43601121287085</c:v>
                </c:pt>
                <c:pt idx="13">
                  <c:v>294.36899189717036</c:v>
                </c:pt>
                <c:pt idx="15">
                  <c:v>290.5504674636245</c:v>
                </c:pt>
                <c:pt idx="16">
                  <c:v>371.9811233459794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GA_Data2!$AR$47:$AR$63</c:f>
              <c:numCache>
                <c:ptCount val="17"/>
                <c:pt idx="0">
                  <c:v>0.8159268929503917</c:v>
                </c:pt>
                <c:pt idx="1">
                  <c:v>2.2633993239980685</c:v>
                </c:pt>
                <c:pt idx="4">
                  <c:v>0</c:v>
                </c:pt>
                <c:pt idx="5">
                  <c:v>16.992064705782397</c:v>
                </c:pt>
                <c:pt idx="6">
                  <c:v>6.937810533731102</c:v>
                </c:pt>
                <c:pt idx="7">
                  <c:v>7.0801830733051805</c:v>
                </c:pt>
                <c:pt idx="8">
                  <c:v>11.771630370806356</c:v>
                </c:pt>
                <c:pt idx="9">
                  <c:v>3.029227720030119</c:v>
                </c:pt>
                <c:pt idx="10">
                  <c:v>10.44734737831854</c:v>
                </c:pt>
                <c:pt idx="11">
                  <c:v>13.317845172651065</c:v>
                </c:pt>
                <c:pt idx="12">
                  <c:v>9.752291788570314</c:v>
                </c:pt>
                <c:pt idx="13">
                  <c:v>10.808774254117372</c:v>
                </c:pt>
                <c:pt idx="15">
                  <c:v>9.719755797702986</c:v>
                </c:pt>
                <c:pt idx="16">
                  <c:v>12.916244248615769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GA_Data2!$AQ$47:$AQ$63</c:f>
              <c:numCache>
                <c:ptCount val="17"/>
                <c:pt idx="0">
                  <c:v>62.7415216896428</c:v>
                </c:pt>
                <c:pt idx="1">
                  <c:v>92.61414213151689</c:v>
                </c:pt>
                <c:pt idx="4">
                  <c:v>94.16150356882729</c:v>
                </c:pt>
                <c:pt idx="5">
                  <c:v>155.01499882127806</c:v>
                </c:pt>
                <c:pt idx="6">
                  <c:v>109.93452126464005</c:v>
                </c:pt>
                <c:pt idx="7">
                  <c:v>127.61024269307255</c:v>
                </c:pt>
                <c:pt idx="8">
                  <c:v>127.66415672863204</c:v>
                </c:pt>
                <c:pt idx="9">
                  <c:v>130.03970427284727</c:v>
                </c:pt>
                <c:pt idx="10">
                  <c:v>113.45946645330524</c:v>
                </c:pt>
                <c:pt idx="11">
                  <c:v>107.19709334506592</c:v>
                </c:pt>
                <c:pt idx="12">
                  <c:v>98.21190344963051</c:v>
                </c:pt>
                <c:pt idx="13">
                  <c:v>122.60943983579337</c:v>
                </c:pt>
                <c:pt idx="15">
                  <c:v>122.30698739557093</c:v>
                </c:pt>
                <c:pt idx="16">
                  <c:v>155.92739823117932</c:v>
                </c:pt>
              </c:numCache>
            </c:numRef>
          </c:yVal>
          <c:smooth val="0"/>
        </c:ser>
        <c:axId val="31910023"/>
        <c:axId val="18754752"/>
      </c:scatterChart>
      <c:val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crossBetween val="midCat"/>
        <c:dispUnits/>
        <c:majorUnit val="1"/>
      </c:valAx>
      <c:valAx>
        <c:axId val="1875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GA_Data2!$AK$47:$AK$63</c:f>
              <c:numCache>
                <c:ptCount val="17"/>
                <c:pt idx="0">
                  <c:v>41.12036264618387</c:v>
                </c:pt>
                <c:pt idx="1">
                  <c:v>65.03760644193984</c:v>
                </c:pt>
                <c:pt idx="4">
                  <c:v>58.746565037010335</c:v>
                </c:pt>
                <c:pt idx="5">
                  <c:v>87.97126137306624</c:v>
                </c:pt>
                <c:pt idx="6">
                  <c:v>56.43419757028921</c:v>
                </c:pt>
                <c:pt idx="7">
                  <c:v>62.113707769585105</c:v>
                </c:pt>
                <c:pt idx="8">
                  <c:v>60.31025989302728</c:v>
                </c:pt>
                <c:pt idx="9">
                  <c:v>61.59791433345274</c:v>
                </c:pt>
                <c:pt idx="10">
                  <c:v>51.51562851171181</c:v>
                </c:pt>
                <c:pt idx="11">
                  <c:v>49.78677461881418</c:v>
                </c:pt>
                <c:pt idx="12">
                  <c:v>44.28675335589158</c:v>
                </c:pt>
                <c:pt idx="13">
                  <c:v>58.891556039954295</c:v>
                </c:pt>
                <c:pt idx="15">
                  <c:v>59.38605883812137</c:v>
                </c:pt>
                <c:pt idx="16">
                  <c:v>74.57671900790106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GA_Data2!$AL$47:$AL$63</c:f>
              <c:numCache>
                <c:ptCount val="17"/>
                <c:pt idx="0">
                  <c:v>124.77331656698658</c:v>
                </c:pt>
                <c:pt idx="1">
                  <c:v>172.97164910481433</c:v>
                </c:pt>
                <c:pt idx="4">
                  <c:v>197.06576248966775</c:v>
                </c:pt>
                <c:pt idx="5">
                  <c:v>346.06193241788134</c:v>
                </c:pt>
                <c:pt idx="6">
                  <c:v>261.53121519442794</c:v>
                </c:pt>
                <c:pt idx="7">
                  <c:v>312.16279152262894</c:v>
                </c:pt>
                <c:pt idx="8">
                  <c:v>314.8193804684807</c:v>
                </c:pt>
                <c:pt idx="9">
                  <c:v>320.1659476146388</c:v>
                </c:pt>
                <c:pt idx="10">
                  <c:v>282.47438689378</c:v>
                </c:pt>
                <c:pt idx="11">
                  <c:v>262.3905658431516</c:v>
                </c:pt>
                <c:pt idx="12">
                  <c:v>243.43601121287085</c:v>
                </c:pt>
                <c:pt idx="13">
                  <c:v>294.36899189717036</c:v>
                </c:pt>
                <c:pt idx="15">
                  <c:v>290.5504674636245</c:v>
                </c:pt>
                <c:pt idx="16">
                  <c:v>371.9811233459794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16.522098306484924</c:v>
                </c:pt>
                <c:pt idx="6">
                  <c:v>0</c:v>
                </c:pt>
                <c:pt idx="7">
                  <c:v>15.744312367157363</c:v>
                </c:pt>
                <c:pt idx="8">
                  <c:v>7.828401440425865</c:v>
                </c:pt>
                <c:pt idx="9">
                  <c:v>22.67573696145125</c:v>
                </c:pt>
                <c:pt idx="10">
                  <c:v>22.028049049122547</c:v>
                </c:pt>
                <c:pt idx="11">
                  <c:v>28.677946659019213</c:v>
                </c:pt>
                <c:pt idx="12">
                  <c:v>55.67541234602269</c:v>
                </c:pt>
                <c:pt idx="13">
                  <c:v>60.893098782138026</c:v>
                </c:pt>
                <c:pt idx="15">
                  <c:v>57.96354736909899</c:v>
                </c:pt>
                <c:pt idx="16">
                  <c:v>44.11672023696981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2.667164537380311</c:v>
                </c:pt>
                <c:pt idx="8">
                  <c:v>0</c:v>
                </c:pt>
                <c:pt idx="9">
                  <c:v>4.511210357738982</c:v>
                </c:pt>
                <c:pt idx="10">
                  <c:v>1.034457788949922</c:v>
                </c:pt>
                <c:pt idx="11">
                  <c:v>0.9424893027464138</c:v>
                </c:pt>
                <c:pt idx="12">
                  <c:v>1.7302834204242654</c:v>
                </c:pt>
                <c:pt idx="13">
                  <c:v>0.8040718196949351</c:v>
                </c:pt>
                <c:pt idx="15">
                  <c:v>2.0800255149796505</c:v>
                </c:pt>
                <c:pt idx="16">
                  <c:v>4.518957024718695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GA_Data2!$AO$47:$AO$63</c:f>
              <c:numCache>
                <c:ptCount val="17"/>
                <c:pt idx="0">
                  <c:v>1.3680826321909842</c:v>
                </c:pt>
                <c:pt idx="1">
                  <c:v>3.8492134773794553</c:v>
                </c:pt>
                <c:pt idx="4">
                  <c:v>0</c:v>
                </c:pt>
                <c:pt idx="5">
                  <c:v>28.118943129437522</c:v>
                </c:pt>
                <c:pt idx="6">
                  <c:v>12.40126683710459</c:v>
                </c:pt>
                <c:pt idx="7">
                  <c:v>9.087109027134108</c:v>
                </c:pt>
                <c:pt idx="8">
                  <c:v>20.228753487352815</c:v>
                </c:pt>
                <c:pt idx="9">
                  <c:v>0</c:v>
                </c:pt>
                <c:pt idx="10">
                  <c:v>15.875421239870398</c:v>
                </c:pt>
                <c:pt idx="11">
                  <c:v>20.630357237927914</c:v>
                </c:pt>
                <c:pt idx="12">
                  <c:v>11.349449551696743</c:v>
                </c:pt>
                <c:pt idx="13">
                  <c:v>13.53810163323658</c:v>
                </c:pt>
                <c:pt idx="15">
                  <c:v>11.316723401173318</c:v>
                </c:pt>
                <c:pt idx="16">
                  <c:v>16.279438651561573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GA_Data2!$AQ$24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GA_Data2!$AQ$47:$AQ$63</c:f>
              <c:numCache>
                <c:ptCount val="17"/>
                <c:pt idx="0">
                  <c:v>62.7415216896428</c:v>
                </c:pt>
                <c:pt idx="1">
                  <c:v>92.61414213151689</c:v>
                </c:pt>
                <c:pt idx="4">
                  <c:v>94.16150356882729</c:v>
                </c:pt>
                <c:pt idx="5">
                  <c:v>155.01499882127806</c:v>
                </c:pt>
                <c:pt idx="6">
                  <c:v>109.93452126464005</c:v>
                </c:pt>
                <c:pt idx="7">
                  <c:v>127.61024269307255</c:v>
                </c:pt>
                <c:pt idx="8">
                  <c:v>127.66415672863204</c:v>
                </c:pt>
                <c:pt idx="9">
                  <c:v>130.03970427284727</c:v>
                </c:pt>
                <c:pt idx="10">
                  <c:v>113.45946645330524</c:v>
                </c:pt>
                <c:pt idx="11">
                  <c:v>107.19709334506592</c:v>
                </c:pt>
                <c:pt idx="12">
                  <c:v>98.21190344963051</c:v>
                </c:pt>
                <c:pt idx="13">
                  <c:v>122.60943983579337</c:v>
                </c:pt>
                <c:pt idx="15">
                  <c:v>122.30698739557093</c:v>
                </c:pt>
                <c:pt idx="16">
                  <c:v>155.92739823117932</c:v>
                </c:pt>
              </c:numCache>
            </c:numRef>
          </c:yVal>
          <c:smooth val="0"/>
        </c:ser>
        <c:axId val="34575041"/>
        <c:axId val="42739914"/>
      </c:scatterChart>
      <c:val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 val="autoZero"/>
        <c:crossBetween val="midCat"/>
        <c:dispUnits/>
        <c:majorUnit val="1"/>
      </c:valAx>
      <c:valAx>
        <c:axId val="4273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GA_Data3!$L$4:$L$20</c:f>
              <c:numCache>
                <c:ptCount val="17"/>
                <c:pt idx="0">
                  <c:v>19.13474540524021</c:v>
                </c:pt>
                <c:pt idx="1">
                  <c:v>19.155874692172006</c:v>
                </c:pt>
                <c:pt idx="4">
                  <c:v>4.81797103194917</c:v>
                </c:pt>
                <c:pt idx="5">
                  <c:v>29.771012240829002</c:v>
                </c:pt>
                <c:pt idx="6">
                  <c:v>27.01977531003025</c:v>
                </c:pt>
                <c:pt idx="7">
                  <c:v>26.55223702596944</c:v>
                </c:pt>
                <c:pt idx="8">
                  <c:v>22.605495384865012</c:v>
                </c:pt>
                <c:pt idx="9">
                  <c:v>24.32259241415762</c:v>
                </c:pt>
                <c:pt idx="10">
                  <c:v>22.513613371823897</c:v>
                </c:pt>
                <c:pt idx="11">
                  <c:v>23.05152924461543</c:v>
                </c:pt>
                <c:pt idx="12">
                  <c:v>21.661071729379668</c:v>
                </c:pt>
                <c:pt idx="13">
                  <c:v>17.97449274098128</c:v>
                </c:pt>
                <c:pt idx="15">
                  <c:v>18.25238826096048</c:v>
                </c:pt>
                <c:pt idx="16">
                  <c:v>22.84935914786368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GA_Data3!$M$4:$M$20</c:f>
              <c:numCache>
                <c:ptCount val="17"/>
                <c:pt idx="0">
                  <c:v>609.0881205906841</c:v>
                </c:pt>
                <c:pt idx="1">
                  <c:v>627.8157493533413</c:v>
                </c:pt>
                <c:pt idx="4">
                  <c:v>199.83533568339686</c:v>
                </c:pt>
                <c:pt idx="5">
                  <c:v>1026.3136974322283</c:v>
                </c:pt>
                <c:pt idx="6">
                  <c:v>795.7038283418382</c:v>
                </c:pt>
                <c:pt idx="7">
                  <c:v>791.7018491118531</c:v>
                </c:pt>
                <c:pt idx="8">
                  <c:v>753.7291539728748</c:v>
                </c:pt>
                <c:pt idx="9">
                  <c:v>756.2540604857253</c:v>
                </c:pt>
                <c:pt idx="10">
                  <c:v>723.1632009188427</c:v>
                </c:pt>
                <c:pt idx="11">
                  <c:v>687.4449385045472</c:v>
                </c:pt>
                <c:pt idx="12">
                  <c:v>716.8875985977213</c:v>
                </c:pt>
                <c:pt idx="13">
                  <c:v>602.4299582414172</c:v>
                </c:pt>
                <c:pt idx="15">
                  <c:v>527.7625068719077</c:v>
                </c:pt>
                <c:pt idx="16">
                  <c:v>660.6252141796443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GA_Data3!$N$4:$N$20</c:f>
              <c:numCache>
                <c:ptCount val="17"/>
                <c:pt idx="0">
                  <c:v>44.105711263018414</c:v>
                </c:pt>
                <c:pt idx="1">
                  <c:v>45.26584313695232</c:v>
                </c:pt>
                <c:pt idx="4">
                  <c:v>13.588211758979634</c:v>
                </c:pt>
                <c:pt idx="5">
                  <c:v>74.92744105858065</c:v>
                </c:pt>
                <c:pt idx="6">
                  <c:v>62.176463924884786</c:v>
                </c:pt>
                <c:pt idx="7">
                  <c:v>61.88448634624334</c:v>
                </c:pt>
                <c:pt idx="8">
                  <c:v>56.77286179868378</c:v>
                </c:pt>
                <c:pt idx="9">
                  <c:v>58.704522854301686</c:v>
                </c:pt>
                <c:pt idx="10">
                  <c:v>55.5359705679405</c:v>
                </c:pt>
                <c:pt idx="11">
                  <c:v>54.313358703503575</c:v>
                </c:pt>
                <c:pt idx="12">
                  <c:v>54.16583966655356</c:v>
                </c:pt>
                <c:pt idx="13">
                  <c:v>45.26349211148994</c:v>
                </c:pt>
                <c:pt idx="15">
                  <c:v>42.28840693529874</c:v>
                </c:pt>
                <c:pt idx="16">
                  <c:v>52.98493812426722</c:v>
                </c:pt>
              </c:numCache>
            </c:numRef>
          </c:yVal>
          <c:smooth val="1"/>
        </c:ser>
        <c:axId val="24382257"/>
        <c:axId val="18113722"/>
      </c:scatterChart>
      <c:valAx>
        <c:axId val="2438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113722"/>
        <c:crossesAt val="0"/>
        <c:crossBetween val="midCat"/>
        <c:dispUnits/>
        <c:majorUnit val="1"/>
      </c:valAx>
      <c:valAx>
        <c:axId val="1811372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GA_Data2!$Q$4:$Q$20</c:f>
              <c:numCache>
                <c:ptCount val="17"/>
                <c:pt idx="0">
                  <c:v>45.04196456325769</c:v>
                </c:pt>
                <c:pt idx="1">
                  <c:v>46.635636126081984</c:v>
                </c:pt>
                <c:pt idx="4">
                  <c:v>42.39647212843657</c:v>
                </c:pt>
                <c:pt idx="5">
                  <c:v>38.22707152287023</c:v>
                </c:pt>
                <c:pt idx="6">
                  <c:v>34.78772125263028</c:v>
                </c:pt>
                <c:pt idx="7">
                  <c:v>33.3971938919254</c:v>
                </c:pt>
                <c:pt idx="8">
                  <c:v>32.94039814759127</c:v>
                </c:pt>
                <c:pt idx="9">
                  <c:v>33.0213824557247</c:v>
                </c:pt>
                <c:pt idx="10">
                  <c:v>31.77922077922078</c:v>
                </c:pt>
                <c:pt idx="11">
                  <c:v>32.701329163408914</c:v>
                </c:pt>
                <c:pt idx="12">
                  <c:v>32.03297416590939</c:v>
                </c:pt>
                <c:pt idx="13">
                  <c:v>33.67279020234292</c:v>
                </c:pt>
                <c:pt idx="15">
                  <c:v>34.25288848500585</c:v>
                </c:pt>
                <c:pt idx="16">
                  <c:v>33.28319099378882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GA_Data2!$R$4:$R$20</c:f>
              <c:numCache>
                <c:ptCount val="17"/>
                <c:pt idx="0">
                  <c:v>54.94767381618485</c:v>
                </c:pt>
                <c:pt idx="1">
                  <c:v>53.323534215253964</c:v>
                </c:pt>
                <c:pt idx="4">
                  <c:v>57.60352787156343</c:v>
                </c:pt>
                <c:pt idx="5">
                  <c:v>61.01188164945251</c:v>
                </c:pt>
                <c:pt idx="6">
                  <c:v>64.48199034533977</c:v>
                </c:pt>
                <c:pt idx="7">
                  <c:v>66.11821716346424</c:v>
                </c:pt>
                <c:pt idx="8">
                  <c:v>66.58447104107776</c:v>
                </c:pt>
                <c:pt idx="9">
                  <c:v>66.7950008884677</c:v>
                </c:pt>
                <c:pt idx="10">
                  <c:v>67.42207792207793</c:v>
                </c:pt>
                <c:pt idx="11">
                  <c:v>66.28225175918686</c:v>
                </c:pt>
                <c:pt idx="12">
                  <c:v>67.1945995066857</c:v>
                </c:pt>
                <c:pt idx="13">
                  <c:v>65.38871139510117</c:v>
                </c:pt>
                <c:pt idx="15">
                  <c:v>64.61768142282229</c:v>
                </c:pt>
                <c:pt idx="16">
                  <c:v>65.33870341614907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0.015531567911780694</c:v>
                </c:pt>
                <c:pt idx="6">
                  <c:v>0.03713330857779428</c:v>
                </c:pt>
                <c:pt idx="7">
                  <c:v>0.028173775849439343</c:v>
                </c:pt>
                <c:pt idx="8">
                  <c:v>0.03007157033740302</c:v>
                </c:pt>
                <c:pt idx="9">
                  <c:v>0.10069300479772553</c:v>
                </c:pt>
                <c:pt idx="10">
                  <c:v>0.07142857142857142</c:v>
                </c:pt>
                <c:pt idx="11">
                  <c:v>0.0977326035965598</c:v>
                </c:pt>
                <c:pt idx="12">
                  <c:v>0.19472932623653122</c:v>
                </c:pt>
                <c:pt idx="13">
                  <c:v>0.14643237486687966</c:v>
                </c:pt>
                <c:pt idx="15">
                  <c:v>0.18823834869531353</c:v>
                </c:pt>
                <c:pt idx="16">
                  <c:v>0.07278726708074534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0.01856665428889714</c:v>
                </c:pt>
                <c:pt idx="7">
                  <c:v>0.02253902067955147</c:v>
                </c:pt>
                <c:pt idx="8">
                  <c:v>0.006014314067480603</c:v>
                </c:pt>
                <c:pt idx="9">
                  <c:v>0.0829236510098916</c:v>
                </c:pt>
                <c:pt idx="10">
                  <c:v>0.09090909090909091</c:v>
                </c:pt>
                <c:pt idx="11">
                  <c:v>0.05863956215793589</c:v>
                </c:pt>
                <c:pt idx="12">
                  <c:v>0.025963910164870832</c:v>
                </c:pt>
                <c:pt idx="13">
                  <c:v>0.08652822151224707</c:v>
                </c:pt>
                <c:pt idx="15">
                  <c:v>0.07140075295339478</c:v>
                </c:pt>
                <c:pt idx="16">
                  <c:v>0.09704968944099379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GA_Data2!$U$4:$U$20</c:f>
              <c:numCache>
                <c:ptCount val="17"/>
                <c:pt idx="0">
                  <c:v>0.010361620557455186</c:v>
                </c:pt>
                <c:pt idx="1">
                  <c:v>0.04082965866405357</c:v>
                </c:pt>
                <c:pt idx="4">
                  <c:v>0</c:v>
                </c:pt>
                <c:pt idx="5">
                  <c:v>0.7455152597654734</c:v>
                </c:pt>
                <c:pt idx="6">
                  <c:v>0.6745884391632628</c:v>
                </c:pt>
                <c:pt idx="7">
                  <c:v>0.4338761480813659</c:v>
                </c:pt>
                <c:pt idx="8">
                  <c:v>0.43904492692608404</c:v>
                </c:pt>
                <c:pt idx="9">
                  <c:v>0</c:v>
                </c:pt>
                <c:pt idx="10">
                  <c:v>0.6363636363636364</c:v>
                </c:pt>
                <c:pt idx="11">
                  <c:v>0.8600469116497262</c:v>
                </c:pt>
                <c:pt idx="12">
                  <c:v>0.5517330910035052</c:v>
                </c:pt>
                <c:pt idx="13">
                  <c:v>0.7055378061767839</c:v>
                </c:pt>
                <c:pt idx="15">
                  <c:v>0.8697909905231729</c:v>
                </c:pt>
                <c:pt idx="16">
                  <c:v>1.2082686335403725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9114907"/>
        <c:axId val="39380980"/>
      </c:scatterChart>
      <c:val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 val="autoZero"/>
        <c:crossBetween val="midCat"/>
        <c:dispUnits/>
        <c:majorUnit val="1"/>
      </c:valAx>
      <c:valAx>
        <c:axId val="393809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919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GA_Data2!$R$4:$R$20</c:f>
              <c:numCache>
                <c:ptCount val="17"/>
                <c:pt idx="0">
                  <c:v>54.94767381618485</c:v>
                </c:pt>
                <c:pt idx="1">
                  <c:v>53.323534215253964</c:v>
                </c:pt>
                <c:pt idx="4">
                  <c:v>57.60352787156343</c:v>
                </c:pt>
                <c:pt idx="5">
                  <c:v>61.01188164945251</c:v>
                </c:pt>
                <c:pt idx="6">
                  <c:v>64.48199034533977</c:v>
                </c:pt>
                <c:pt idx="7">
                  <c:v>66.11821716346424</c:v>
                </c:pt>
                <c:pt idx="8">
                  <c:v>66.58447104107776</c:v>
                </c:pt>
                <c:pt idx="9">
                  <c:v>66.7950008884677</c:v>
                </c:pt>
                <c:pt idx="10">
                  <c:v>67.42207792207793</c:v>
                </c:pt>
                <c:pt idx="11">
                  <c:v>66.28225175918686</c:v>
                </c:pt>
                <c:pt idx="12">
                  <c:v>67.1945995066857</c:v>
                </c:pt>
                <c:pt idx="13">
                  <c:v>65.38871139510117</c:v>
                </c:pt>
                <c:pt idx="15">
                  <c:v>64.61768142282229</c:v>
                </c:pt>
                <c:pt idx="16">
                  <c:v>65.33870341614907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GA_Data2!$S$3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0.015531567911780694</c:v>
                </c:pt>
                <c:pt idx="6">
                  <c:v>0.03713330857779428</c:v>
                </c:pt>
                <c:pt idx="7">
                  <c:v>0.028173775849439343</c:v>
                </c:pt>
                <c:pt idx="8">
                  <c:v>0.03007157033740302</c:v>
                </c:pt>
                <c:pt idx="9">
                  <c:v>0.10069300479772553</c:v>
                </c:pt>
                <c:pt idx="10">
                  <c:v>0.07142857142857142</c:v>
                </c:pt>
                <c:pt idx="11">
                  <c:v>0.0977326035965598</c:v>
                </c:pt>
                <c:pt idx="12">
                  <c:v>0.19472932623653122</c:v>
                </c:pt>
                <c:pt idx="13">
                  <c:v>0.14643237486687966</c:v>
                </c:pt>
                <c:pt idx="15">
                  <c:v>0.18823834869531353</c:v>
                </c:pt>
                <c:pt idx="16">
                  <c:v>0.07278726708074534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GA_Data2!$T$3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0.01856665428889714</c:v>
                </c:pt>
                <c:pt idx="7">
                  <c:v>0.02253902067955147</c:v>
                </c:pt>
                <c:pt idx="8">
                  <c:v>0.006014314067480603</c:v>
                </c:pt>
                <c:pt idx="9">
                  <c:v>0.0829236510098916</c:v>
                </c:pt>
                <c:pt idx="10">
                  <c:v>0.09090909090909091</c:v>
                </c:pt>
                <c:pt idx="11">
                  <c:v>0.05863956215793589</c:v>
                </c:pt>
                <c:pt idx="12">
                  <c:v>0.025963910164870832</c:v>
                </c:pt>
                <c:pt idx="13">
                  <c:v>0.08652822151224707</c:v>
                </c:pt>
                <c:pt idx="15">
                  <c:v>0.07140075295339478</c:v>
                </c:pt>
                <c:pt idx="16">
                  <c:v>0.09704968944099379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GA_Data2!$U$4:$U$20</c:f>
              <c:numCache>
                <c:ptCount val="17"/>
                <c:pt idx="0">
                  <c:v>0.010361620557455186</c:v>
                </c:pt>
                <c:pt idx="1">
                  <c:v>0.04082965866405357</c:v>
                </c:pt>
                <c:pt idx="4">
                  <c:v>0</c:v>
                </c:pt>
                <c:pt idx="5">
                  <c:v>0.7455152597654734</c:v>
                </c:pt>
                <c:pt idx="6">
                  <c:v>0.6745884391632628</c:v>
                </c:pt>
                <c:pt idx="7">
                  <c:v>0.4338761480813659</c:v>
                </c:pt>
                <c:pt idx="8">
                  <c:v>0.43904492692608404</c:v>
                </c:pt>
                <c:pt idx="9">
                  <c:v>0</c:v>
                </c:pt>
                <c:pt idx="10">
                  <c:v>0.6363636363636364</c:v>
                </c:pt>
                <c:pt idx="11">
                  <c:v>0.8600469116497262</c:v>
                </c:pt>
                <c:pt idx="12">
                  <c:v>0.5517330910035052</c:v>
                </c:pt>
                <c:pt idx="13">
                  <c:v>0.7055378061767839</c:v>
                </c:pt>
                <c:pt idx="15">
                  <c:v>0.8697909905231729</c:v>
                </c:pt>
                <c:pt idx="16">
                  <c:v>1.2082686335403725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8884501"/>
        <c:axId val="35742782"/>
      </c:scatterChart>
      <c:valAx>
        <c:axId val="1888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crossBetween val="midCat"/>
        <c:dispUnits/>
        <c:majorUnit val="1"/>
      </c:valAx>
      <c:valAx>
        <c:axId val="357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17</c:v>
                </c:pt>
                <c:pt idx="10">
                  <c:v>11</c:v>
                </c:pt>
                <c:pt idx="11">
                  <c:v>15</c:v>
                </c:pt>
                <c:pt idx="12">
                  <c:v>30</c:v>
                </c:pt>
                <c:pt idx="13">
                  <c:v>22</c:v>
                </c:pt>
                <c:pt idx="14">
                  <c:v>0</c:v>
                </c:pt>
                <c:pt idx="15">
                  <c:v>29</c:v>
                </c:pt>
                <c:pt idx="16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14</c:v>
                </c:pt>
                <c:pt idx="11">
                  <c:v>9</c:v>
                </c:pt>
                <c:pt idx="12">
                  <c:v>4</c:v>
                </c:pt>
                <c:pt idx="13">
                  <c:v>13</c:v>
                </c:pt>
                <c:pt idx="14">
                  <c:v>0</c:v>
                </c:pt>
                <c:pt idx="15">
                  <c:v>11</c:v>
                </c:pt>
                <c:pt idx="16">
                  <c:v>20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GA_Data2!$F$3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GA_Data2!$F$4:$F$20</c:f>
              <c:numCache>
                <c:ptCount val="17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192</c:v>
                </c:pt>
                <c:pt idx="6">
                  <c:v>109</c:v>
                </c:pt>
                <c:pt idx="7">
                  <c:v>77</c:v>
                </c:pt>
                <c:pt idx="8">
                  <c:v>73</c:v>
                </c:pt>
                <c:pt idx="9">
                  <c:v>0</c:v>
                </c:pt>
                <c:pt idx="10">
                  <c:v>98</c:v>
                </c:pt>
                <c:pt idx="11">
                  <c:v>132</c:v>
                </c:pt>
                <c:pt idx="12">
                  <c:v>85</c:v>
                </c:pt>
                <c:pt idx="13">
                  <c:v>106</c:v>
                </c:pt>
                <c:pt idx="14">
                  <c:v>0</c:v>
                </c:pt>
                <c:pt idx="15">
                  <c:v>134</c:v>
                </c:pt>
                <c:pt idx="16">
                  <c:v>249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GA_Data2!$G$3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GA_Data2!$G$4:$G$20</c:f>
              <c:numCache>
                <c:ptCount val="17"/>
              </c:numCache>
            </c:numRef>
          </c:yVal>
          <c:smooth val="0"/>
        </c:ser>
        <c:axId val="53249583"/>
        <c:axId val="9484200"/>
      </c:scatterChart>
      <c:valAx>
        <c:axId val="5324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crossBetween val="midCat"/>
        <c:dispUnits/>
        <c:majorUnit val="1"/>
      </c:valAx>
      <c:valAx>
        <c:axId val="94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GA_Data2!$AM$4:$AM$20</c:f>
              <c:numCache>
                <c:ptCount val="17"/>
                <c:pt idx="4">
                  <c:v>0</c:v>
                </c:pt>
                <c:pt idx="5">
                  <c:v>33.04419661296985</c:v>
                </c:pt>
                <c:pt idx="6">
                  <c:v>48.18890048992049</c:v>
                </c:pt>
                <c:pt idx="7">
                  <c:v>39.360780917893415</c:v>
                </c:pt>
                <c:pt idx="8">
                  <c:v>39.14200720212932</c:v>
                </c:pt>
                <c:pt idx="9">
                  <c:v>128.49584278155706</c:v>
                </c:pt>
                <c:pt idx="10">
                  <c:v>80.76951318011601</c:v>
                </c:pt>
                <c:pt idx="11">
                  <c:v>107.54229997132205</c:v>
                </c:pt>
                <c:pt idx="12">
                  <c:v>208.7827962975851</c:v>
                </c:pt>
                <c:pt idx="13">
                  <c:v>148.84979702300404</c:v>
                </c:pt>
                <c:pt idx="15">
                  <c:v>186.7714304115412</c:v>
                </c:pt>
                <c:pt idx="16">
                  <c:v>94.53582907922103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GA_Data2!$AN$4:$AN$20</c:f>
              <c:numCache>
                <c:ptCount val="17"/>
                <c:pt idx="4">
                  <c:v>0</c:v>
                </c:pt>
                <c:pt idx="5">
                  <c:v>0</c:v>
                </c:pt>
                <c:pt idx="6">
                  <c:v>4.279600570613409</c:v>
                </c:pt>
                <c:pt idx="7">
                  <c:v>5.334329074760622</c:v>
                </c:pt>
                <c:pt idx="8">
                  <c:v>1.2352083796536475</c:v>
                </c:pt>
                <c:pt idx="9">
                  <c:v>15.789236252086434</c:v>
                </c:pt>
                <c:pt idx="10">
                  <c:v>14.482409045298906</c:v>
                </c:pt>
                <c:pt idx="11">
                  <c:v>8.482403724717724</c:v>
                </c:pt>
                <c:pt idx="12">
                  <c:v>3.460566840848531</c:v>
                </c:pt>
                <c:pt idx="13">
                  <c:v>10.452933656034157</c:v>
                </c:pt>
                <c:pt idx="15">
                  <c:v>7.626760221592051</c:v>
                </c:pt>
                <c:pt idx="16">
                  <c:v>12.911305784910557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GA_Data2!$AO$3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GA_Data2!$AO$4:$AO$20</c:f>
              <c:numCache>
                <c:ptCount val="17"/>
                <c:pt idx="0">
                  <c:v>1.3680826321909842</c:v>
                </c:pt>
                <c:pt idx="1">
                  <c:v>6.415355795632426</c:v>
                </c:pt>
                <c:pt idx="4">
                  <c:v>0</c:v>
                </c:pt>
                <c:pt idx="5">
                  <c:v>192.8156100304287</c:v>
                </c:pt>
                <c:pt idx="6">
                  <c:v>103.97985271110772</c:v>
                </c:pt>
                <c:pt idx="7">
                  <c:v>69.97073950893264</c:v>
                </c:pt>
                <c:pt idx="8">
                  <c:v>61.52912519069814</c:v>
                </c:pt>
                <c:pt idx="9">
                  <c:v>0</c:v>
                </c:pt>
                <c:pt idx="10">
                  <c:v>70.71778552305905</c:v>
                </c:pt>
                <c:pt idx="11">
                  <c:v>87.8453921098866</c:v>
                </c:pt>
                <c:pt idx="12">
                  <c:v>50.77385325759069</c:v>
                </c:pt>
                <c:pt idx="13">
                  <c:v>57.4015509249231</c:v>
                </c:pt>
                <c:pt idx="15">
                  <c:v>60.657637430288986</c:v>
                </c:pt>
                <c:pt idx="16">
                  <c:v>103.93795446766235</c:v>
                </c:pt>
              </c:numCache>
            </c:numRef>
          </c:yVal>
          <c:smooth val="0"/>
        </c:ser>
        <c:axId val="18248937"/>
        <c:axId val="30022706"/>
      </c:scatterChart>
      <c:valAx>
        <c:axId val="1824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crossBetween val="midCat"/>
        <c:dispUnits/>
        <c:majorUnit val="1"/>
      </c:valAx>
      <c:valAx>
        <c:axId val="30022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GA_Data2!$R$25:$R$41</c:f>
              <c:numCache>
                <c:ptCount val="17"/>
                <c:pt idx="0">
                  <c:v>55.83622255241869</c:v>
                </c:pt>
                <c:pt idx="1">
                  <c:v>55.80239695995323</c:v>
                </c:pt>
                <c:pt idx="4">
                  <c:v>58.71697242413754</c:v>
                </c:pt>
                <c:pt idx="5">
                  <c:v>61.81168953204285</c:v>
                </c:pt>
                <c:pt idx="6">
                  <c:v>65.06037321624588</c:v>
                </c:pt>
                <c:pt idx="7">
                  <c:v>66.47606946209234</c:v>
                </c:pt>
                <c:pt idx="8">
                  <c:v>66.39344262295081</c:v>
                </c:pt>
                <c:pt idx="9">
                  <c:v>66.48955887804276</c:v>
                </c:pt>
                <c:pt idx="10">
                  <c:v>66.44233306941145</c:v>
                </c:pt>
                <c:pt idx="11">
                  <c:v>64.90057729313664</c:v>
                </c:pt>
                <c:pt idx="12">
                  <c:v>65.75605080277978</c:v>
                </c:pt>
                <c:pt idx="13">
                  <c:v>62.794166390454095</c:v>
                </c:pt>
                <c:pt idx="15">
                  <c:v>60.633036597428294</c:v>
                </c:pt>
                <c:pt idx="16">
                  <c:v>61.72022684310019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GA_Data2!$S$24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GA_Data2!$S$25:$S$41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0.01252897325064211</c:v>
                </c:pt>
                <c:pt idx="6">
                  <c:v>0.06586169045005488</c:v>
                </c:pt>
                <c:pt idx="7">
                  <c:v>0.03176620076238882</c:v>
                </c:pt>
                <c:pt idx="8">
                  <c:v>0.048935649620748714</c:v>
                </c:pt>
                <c:pt idx="9">
                  <c:v>0.1729890028419622</c:v>
                </c:pt>
                <c:pt idx="10">
                  <c:v>0.10556875164951175</c:v>
                </c:pt>
                <c:pt idx="11">
                  <c:v>0.14111610006414368</c:v>
                </c:pt>
                <c:pt idx="12">
                  <c:v>0.26359932901988975</c:v>
                </c:pt>
                <c:pt idx="13">
                  <c:v>0.2154458070931389</c:v>
                </c:pt>
                <c:pt idx="15">
                  <c:v>0.3297065611605671</c:v>
                </c:pt>
                <c:pt idx="16">
                  <c:v>0.0945179584120983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GA_Data2!$T$24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0.03293084522502744</c:v>
                </c:pt>
                <c:pt idx="7">
                  <c:v>0.021177467174925878</c:v>
                </c:pt>
                <c:pt idx="8">
                  <c:v>0.012233912405187179</c:v>
                </c:pt>
                <c:pt idx="9">
                  <c:v>0.12356357345854442</c:v>
                </c:pt>
                <c:pt idx="10">
                  <c:v>0.1715492214304566</c:v>
                </c:pt>
                <c:pt idx="11">
                  <c:v>0.10262989095574088</c:v>
                </c:pt>
                <c:pt idx="12">
                  <c:v>0.023963575365444526</c:v>
                </c:pt>
                <c:pt idx="13">
                  <c:v>0.19887305270135897</c:v>
                </c:pt>
                <c:pt idx="15">
                  <c:v>0.13188262446422683</c:v>
                </c:pt>
                <c:pt idx="16">
                  <c:v>0.15359168241965973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GA_Data2!$U$24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GA_Data2!$U$25:$U$41</c:f>
              <c:numCache>
                <c:ptCount val="17"/>
                <c:pt idx="0">
                  <c:v>0</c:v>
                </c:pt>
                <c:pt idx="1">
                  <c:v>0.029231218941829874</c:v>
                </c:pt>
                <c:pt idx="4">
                  <c:v>0</c:v>
                </c:pt>
                <c:pt idx="5">
                  <c:v>1.027375806552653</c:v>
                </c:pt>
                <c:pt idx="6">
                  <c:v>1.0537870472008781</c:v>
                </c:pt>
                <c:pt idx="7">
                  <c:v>0.7094451503600169</c:v>
                </c:pt>
                <c:pt idx="8">
                  <c:v>0.5994617078541717</c:v>
                </c:pt>
                <c:pt idx="9">
                  <c:v>0</c:v>
                </c:pt>
                <c:pt idx="10">
                  <c:v>1.0029031406703617</c:v>
                </c:pt>
                <c:pt idx="11">
                  <c:v>1.2957023733162285</c:v>
                </c:pt>
                <c:pt idx="12">
                  <c:v>0.7907979870596693</c:v>
                </c:pt>
                <c:pt idx="13">
                  <c:v>1.3423931057341731</c:v>
                </c:pt>
                <c:pt idx="15">
                  <c:v>1.7969007583250909</c:v>
                </c:pt>
                <c:pt idx="16">
                  <c:v>2.4810964083175806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GA_Data2!$V$24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768899"/>
        <c:axId val="15920092"/>
      </c:scatterChart>
      <c:val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crossBetween val="midCat"/>
        <c:dispUnits/>
        <c:majorUnit val="1"/>
      </c:valAx>
      <c:valAx>
        <c:axId val="159200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GEORGIA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14</c:v>
                </c:pt>
                <c:pt idx="10">
                  <c:v>8</c:v>
                </c:pt>
                <c:pt idx="11">
                  <c:v>11</c:v>
                </c:pt>
                <c:pt idx="12">
                  <c:v>22</c:v>
                </c:pt>
                <c:pt idx="13">
                  <c:v>13</c:v>
                </c:pt>
                <c:pt idx="14">
                  <c:v>0</c:v>
                </c:pt>
                <c:pt idx="15">
                  <c:v>20</c:v>
                </c:pt>
                <c:pt idx="16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10</c:v>
                </c:pt>
                <c:pt idx="10">
                  <c:v>13</c:v>
                </c:pt>
                <c:pt idx="11">
                  <c:v>8</c:v>
                </c:pt>
                <c:pt idx="12">
                  <c:v>2</c:v>
                </c:pt>
                <c:pt idx="13">
                  <c:v>12</c:v>
                </c:pt>
                <c:pt idx="14">
                  <c:v>0</c:v>
                </c:pt>
                <c:pt idx="15">
                  <c:v>8</c:v>
                </c:pt>
                <c:pt idx="16">
                  <c:v>13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GA_Data2!$F$24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GA_Data2!$F$25:$F$41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164</c:v>
                </c:pt>
                <c:pt idx="6">
                  <c:v>96</c:v>
                </c:pt>
                <c:pt idx="7">
                  <c:v>67</c:v>
                </c:pt>
                <c:pt idx="8">
                  <c:v>49</c:v>
                </c:pt>
                <c:pt idx="9">
                  <c:v>0</c:v>
                </c:pt>
                <c:pt idx="10">
                  <c:v>76</c:v>
                </c:pt>
                <c:pt idx="11">
                  <c:v>101</c:v>
                </c:pt>
                <c:pt idx="12">
                  <c:v>66</c:v>
                </c:pt>
                <c:pt idx="13">
                  <c:v>81</c:v>
                </c:pt>
                <c:pt idx="14">
                  <c:v>0</c:v>
                </c:pt>
                <c:pt idx="15">
                  <c:v>109</c:v>
                </c:pt>
                <c:pt idx="16">
                  <c:v>210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GA_Data2!$G$24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GA_Data2!$G$25:$G$41</c:f>
              <c:numCache>
                <c:ptCount val="17"/>
              </c:numCache>
            </c:numRef>
          </c:yVal>
          <c:smooth val="0"/>
        </c:ser>
        <c:axId val="9063101"/>
        <c:axId val="14459046"/>
      </c:scatterChart>
      <c:val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crossBetween val="midCat"/>
        <c:dispUnits/>
        <c:majorUnit val="1"/>
      </c:valAx>
      <c:valAx>
        <c:axId val="14459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GA_Data2!$AM$24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16.522098306484924</c:v>
                </c:pt>
                <c:pt idx="6">
                  <c:v>48.18890048992049</c:v>
                </c:pt>
                <c:pt idx="7">
                  <c:v>23.616468550736045</c:v>
                </c:pt>
                <c:pt idx="8">
                  <c:v>31.31360576170346</c:v>
                </c:pt>
                <c:pt idx="9">
                  <c:v>105.82010582010582</c:v>
                </c:pt>
                <c:pt idx="10">
                  <c:v>58.74146413099346</c:v>
                </c:pt>
                <c:pt idx="11">
                  <c:v>78.86435331230284</c:v>
                </c:pt>
                <c:pt idx="12">
                  <c:v>153.10738395156238</c:v>
                </c:pt>
                <c:pt idx="13">
                  <c:v>87.95669824086603</c:v>
                </c:pt>
                <c:pt idx="15">
                  <c:v>128.8078830424422</c:v>
                </c:pt>
                <c:pt idx="16">
                  <c:v>50.41910884225121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4.279600570613409</c:v>
                </c:pt>
                <c:pt idx="7">
                  <c:v>2.667164537380311</c:v>
                </c:pt>
                <c:pt idx="8">
                  <c:v>1.2352083796536475</c:v>
                </c:pt>
                <c:pt idx="9">
                  <c:v>11.278025894347453</c:v>
                </c:pt>
                <c:pt idx="10">
                  <c:v>13.447951256348984</c:v>
                </c:pt>
                <c:pt idx="11">
                  <c:v>7.539914421971311</c:v>
                </c:pt>
                <c:pt idx="12">
                  <c:v>1.7302834204242654</c:v>
                </c:pt>
                <c:pt idx="13">
                  <c:v>9.648861836339222</c:v>
                </c:pt>
                <c:pt idx="15">
                  <c:v>5.546734706612401</c:v>
                </c:pt>
                <c:pt idx="16">
                  <c:v>8.392348760191862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GA_Data2!$AO$24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GA_Data2!$AO$25:$AO$41</c:f>
              <c:numCache>
                <c:ptCount val="17"/>
                <c:pt idx="0">
                  <c:v>0</c:v>
                </c:pt>
                <c:pt idx="1">
                  <c:v>2.5661423182529703</c:v>
                </c:pt>
                <c:pt idx="4">
                  <c:v>0</c:v>
                </c:pt>
                <c:pt idx="5">
                  <c:v>164.69666690099118</c:v>
                </c:pt>
                <c:pt idx="6">
                  <c:v>91.57858587400312</c:v>
                </c:pt>
                <c:pt idx="7">
                  <c:v>60.88363048179852</c:v>
                </c:pt>
                <c:pt idx="8">
                  <c:v>41.30037170334533</c:v>
                </c:pt>
                <c:pt idx="9">
                  <c:v>0</c:v>
                </c:pt>
                <c:pt idx="10">
                  <c:v>54.84236428318865</c:v>
                </c:pt>
                <c:pt idx="11">
                  <c:v>67.2150348719587</c:v>
                </c:pt>
                <c:pt idx="12">
                  <c:v>39.42440370589395</c:v>
                </c:pt>
                <c:pt idx="13">
                  <c:v>43.86344929168652</c:v>
                </c:pt>
                <c:pt idx="15">
                  <c:v>49.34091402911566</c:v>
                </c:pt>
                <c:pt idx="16">
                  <c:v>87.65851581610079</c:v>
                </c:pt>
              </c:numCache>
            </c:numRef>
          </c:yVal>
          <c:smooth val="0"/>
        </c:ser>
        <c:axId val="63022551"/>
        <c:axId val="30332048"/>
      </c:scatterChart>
      <c:val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 val="autoZero"/>
        <c:crossBetween val="midCat"/>
        <c:dispUnits/>
        <c:majorUnit val="1"/>
      </c:valAx>
      <c:valAx>
        <c:axId val="30332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GA_Data1!$E$5:$E$21</c:f>
              <c:numCache>
                <c:ptCount val="17"/>
                <c:pt idx="0">
                  <c:v>982</c:v>
                </c:pt>
                <c:pt idx="1">
                  <c:v>792</c:v>
                </c:pt>
                <c:pt idx="5">
                  <c:v>1213</c:v>
                </c:pt>
                <c:pt idx="6">
                  <c:v>747</c:v>
                </c:pt>
                <c:pt idx="7">
                  <c:v>749</c:v>
                </c:pt>
                <c:pt idx="8">
                  <c:v>578</c:v>
                </c:pt>
                <c:pt idx="9">
                  <c:v>603</c:v>
                </c:pt>
                <c:pt idx="10">
                  <c:v>500</c:v>
                </c:pt>
                <c:pt idx="11">
                  <c:v>548</c:v>
                </c:pt>
                <c:pt idx="12">
                  <c:v>507</c:v>
                </c:pt>
                <c:pt idx="13">
                  <c:v>465</c:v>
                </c:pt>
                <c:pt idx="15">
                  <c:v>495</c:v>
                </c:pt>
                <c:pt idx="16">
                  <c:v>572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GA_Data1!$F$5:$F$21</c:f>
              <c:numCache>
                <c:ptCount val="17"/>
                <c:pt idx="0">
                  <c:v>1539</c:v>
                </c:pt>
                <c:pt idx="1">
                  <c:v>1267</c:v>
                </c:pt>
                <c:pt idx="5">
                  <c:v>2247</c:v>
                </c:pt>
                <c:pt idx="6">
                  <c:v>1689</c:v>
                </c:pt>
                <c:pt idx="7">
                  <c:v>1569</c:v>
                </c:pt>
                <c:pt idx="8">
                  <c:v>1322</c:v>
                </c:pt>
                <c:pt idx="9">
                  <c:v>1246</c:v>
                </c:pt>
                <c:pt idx="10">
                  <c:v>1312</c:v>
                </c:pt>
                <c:pt idx="11">
                  <c:v>1215</c:v>
                </c:pt>
                <c:pt idx="12">
                  <c:v>1181</c:v>
                </c:pt>
                <c:pt idx="13">
                  <c:v>845</c:v>
                </c:pt>
                <c:pt idx="15">
                  <c:v>786</c:v>
                </c:pt>
                <c:pt idx="16">
                  <c:v>1015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GA_Data1!$G$5:$G$21</c:f>
              <c:numCache>
                <c:ptCount val="17"/>
                <c:pt idx="0">
                  <c:v>2521</c:v>
                </c:pt>
                <c:pt idx="1">
                  <c:v>2059</c:v>
                </c:pt>
                <c:pt idx="5">
                  <c:v>3460</c:v>
                </c:pt>
                <c:pt idx="6">
                  <c:v>2436</c:v>
                </c:pt>
                <c:pt idx="7">
                  <c:v>2318</c:v>
                </c:pt>
                <c:pt idx="8">
                  <c:v>1900</c:v>
                </c:pt>
                <c:pt idx="9">
                  <c:v>1849</c:v>
                </c:pt>
                <c:pt idx="10">
                  <c:v>1812</c:v>
                </c:pt>
                <c:pt idx="11">
                  <c:v>1763</c:v>
                </c:pt>
                <c:pt idx="12">
                  <c:v>1688</c:v>
                </c:pt>
                <c:pt idx="13">
                  <c:v>1310</c:v>
                </c:pt>
                <c:pt idx="15">
                  <c:v>1281</c:v>
                </c:pt>
                <c:pt idx="16">
                  <c:v>1587</c:v>
                </c:pt>
              </c:numCache>
            </c:numRef>
          </c:yVal>
          <c:smooth val="1"/>
        </c:ser>
        <c:axId val="28805771"/>
        <c:axId val="57925348"/>
      </c:scatterChart>
      <c:scatterChart>
        <c:scatterStyle val="lineMarker"/>
        <c:varyColors val="0"/>
        <c:ser>
          <c:idx val="5"/>
          <c:order val="3"/>
          <c:tx>
            <c:strRef>
              <c:f>GA_Data1!$A$23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GA_Data1!$F$28:$F$44</c:f>
              <c:numCache>
                <c:ptCount val="17"/>
                <c:pt idx="0">
                  <c:v>61.04720349067831</c:v>
                </c:pt>
                <c:pt idx="1">
                  <c:v>61.534725594949</c:v>
                </c:pt>
                <c:pt idx="5">
                  <c:v>64.94219653179191</c:v>
                </c:pt>
                <c:pt idx="6">
                  <c:v>69.33497536945814</c:v>
                </c:pt>
                <c:pt idx="7">
                  <c:v>67.6876617773943</c:v>
                </c:pt>
                <c:pt idx="8">
                  <c:v>69.57894736842105</c:v>
                </c:pt>
                <c:pt idx="9">
                  <c:v>67.38777717685235</c:v>
                </c:pt>
                <c:pt idx="10">
                  <c:v>72.40618101545255</c:v>
                </c:pt>
                <c:pt idx="11">
                  <c:v>68.91661939875213</c:v>
                </c:pt>
                <c:pt idx="12">
                  <c:v>69.96445497630332</c:v>
                </c:pt>
                <c:pt idx="13">
                  <c:v>64.50381679389314</c:v>
                </c:pt>
                <c:pt idx="15">
                  <c:v>61.35831381733021</c:v>
                </c:pt>
                <c:pt idx="16">
                  <c:v>63.95715185885318</c:v>
                </c:pt>
              </c:numCache>
            </c:numRef>
          </c:yVal>
          <c:smooth val="0"/>
        </c:ser>
        <c:axId val="51566085"/>
        <c:axId val="61441582"/>
      </c:scatterChart>
      <c:valAx>
        <c:axId val="2880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925348"/>
        <c:crossesAt val="0"/>
        <c:crossBetween val="midCat"/>
        <c:dispUnits/>
        <c:majorUnit val="1"/>
      </c:valAx>
      <c:valAx>
        <c:axId val="5792534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805771"/>
        <c:crosses val="autoZero"/>
        <c:crossBetween val="midCat"/>
        <c:dispUnits/>
        <c:majorUnit val="400"/>
      </c:valAx>
      <c:valAx>
        <c:axId val="51566085"/>
        <c:scaling>
          <c:orientation val="minMax"/>
        </c:scaling>
        <c:axPos val="b"/>
        <c:delete val="1"/>
        <c:majorTickMark val="in"/>
        <c:minorTickMark val="none"/>
        <c:tickLblPos val="nextTo"/>
        <c:crossAx val="61441582"/>
        <c:crosses val="max"/>
        <c:crossBetween val="midCat"/>
        <c:dispUnits/>
      </c:valAx>
      <c:valAx>
        <c:axId val="6144158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56608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GA_Data3!$L$24:$L$40</c:f>
              <c:numCache>
                <c:ptCount val="17"/>
                <c:pt idx="0">
                  <c:v>38.03708499584187</c:v>
                </c:pt>
                <c:pt idx="1">
                  <c:v>30.403712938277007</c:v>
                </c:pt>
                <c:pt idx="5">
                  <c:v>45.769629718790334</c:v>
                </c:pt>
                <c:pt idx="6">
                  <c:v>28.150309841830683</c:v>
                </c:pt>
                <c:pt idx="7">
                  <c:v>28.089866571258625</c:v>
                </c:pt>
                <c:pt idx="8">
                  <c:v>21.314806415092946</c:v>
                </c:pt>
                <c:pt idx="9">
                  <c:v>21.696040274758943</c:v>
                </c:pt>
                <c:pt idx="10">
                  <c:v>17.533966800485903</c:v>
                </c:pt>
                <c:pt idx="11">
                  <c:v>18.770041643461003</c:v>
                </c:pt>
                <c:pt idx="12">
                  <c:v>17.026609871000762</c:v>
                </c:pt>
                <c:pt idx="13">
                  <c:v>15.364226331904957</c:v>
                </c:pt>
                <c:pt idx="15">
                  <c:v>15.850758226623574</c:v>
                </c:pt>
                <c:pt idx="16">
                  <c:v>18.00252538922593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GA_Data3!$M$24:$M$40</c:f>
              <c:numCache>
                <c:ptCount val="17"/>
                <c:pt idx="0">
                  <c:v>1348.7577231497305</c:v>
                </c:pt>
                <c:pt idx="1">
                  <c:v>1085.1876595234423</c:v>
                </c:pt>
                <c:pt idx="5">
                  <c:v>1786.3105175292153</c:v>
                </c:pt>
                <c:pt idx="6">
                  <c:v>1328.0076739815856</c:v>
                </c:pt>
                <c:pt idx="7">
                  <c:v>1215.440510035712</c:v>
                </c:pt>
                <c:pt idx="8">
                  <c:v>994.4410594332738</c:v>
                </c:pt>
                <c:pt idx="9">
                  <c:v>909.5488024760751</c:v>
                </c:pt>
                <c:pt idx="10">
                  <c:v>930.1863917701191</c:v>
                </c:pt>
                <c:pt idx="11">
                  <c:v>842.8310800030522</c:v>
                </c:pt>
                <c:pt idx="12">
                  <c:v>808.6382559158632</c:v>
                </c:pt>
                <c:pt idx="13">
                  <c:v>570.0485047189222</c:v>
                </c:pt>
                <c:pt idx="15">
                  <c:v>508.3594735310287</c:v>
                </c:pt>
                <c:pt idx="16">
                  <c:v>644.1254489839952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GA_Data3!$N$24:$N$40</c:f>
              <c:numCache>
                <c:ptCount val="17"/>
                <c:pt idx="0">
                  <c:v>93.5159782120012</c:v>
                </c:pt>
                <c:pt idx="1">
                  <c:v>75.65127517774742</c:v>
                </c:pt>
                <c:pt idx="5">
                  <c:v>124.63891637629283</c:v>
                </c:pt>
                <c:pt idx="6">
                  <c:v>87.60084795894699</c:v>
                </c:pt>
                <c:pt idx="7">
                  <c:v>82.9180574280879</c:v>
                </c:pt>
                <c:pt idx="8">
                  <c:v>66.79160211609857</c:v>
                </c:pt>
                <c:pt idx="9">
                  <c:v>63.402256283647084</c:v>
                </c:pt>
                <c:pt idx="10">
                  <c:v>60.5482422798485</c:v>
                </c:pt>
                <c:pt idx="11">
                  <c:v>57.5447424244452</c:v>
                </c:pt>
                <c:pt idx="12">
                  <c:v>54.03778803613617</c:v>
                </c:pt>
                <c:pt idx="13">
                  <c:v>41.26316956579806</c:v>
                </c:pt>
                <c:pt idx="15">
                  <c:v>39.08473974323065</c:v>
                </c:pt>
                <c:pt idx="16">
                  <c:v>47.587491116701806</c:v>
                </c:pt>
              </c:numCache>
            </c:numRef>
          </c:yVal>
          <c:smooth val="1"/>
        </c:ser>
        <c:axId val="16103327"/>
        <c:axId val="10712216"/>
      </c:scatterChart>
      <c:val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712216"/>
        <c:crossesAt val="0"/>
        <c:crossBetween val="midCat"/>
        <c:dispUnits/>
        <c:majorUnit val="1"/>
      </c:valAx>
      <c:valAx>
        <c:axId val="1071221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103327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GA_Data1!$H$5:$H$21</c:f>
              <c:numCache>
                <c:ptCount val="17"/>
                <c:pt idx="0">
                  <c:v>419</c:v>
                </c:pt>
                <c:pt idx="1">
                  <c:v>475</c:v>
                </c:pt>
                <c:pt idx="5">
                  <c:v>588</c:v>
                </c:pt>
                <c:pt idx="6">
                  <c:v>364</c:v>
                </c:pt>
                <c:pt idx="7">
                  <c:v>400</c:v>
                </c:pt>
                <c:pt idx="8">
                  <c:v>370</c:v>
                </c:pt>
                <c:pt idx="9">
                  <c:v>361</c:v>
                </c:pt>
                <c:pt idx="10">
                  <c:v>338</c:v>
                </c:pt>
                <c:pt idx="11">
                  <c:v>371</c:v>
                </c:pt>
                <c:pt idx="12">
                  <c:v>388</c:v>
                </c:pt>
                <c:pt idx="13">
                  <c:v>321</c:v>
                </c:pt>
                <c:pt idx="15">
                  <c:v>331</c:v>
                </c:pt>
                <c:pt idx="16">
                  <c:v>501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GA_Data1!$I$5:$I$21</c:f>
              <c:numCache>
                <c:ptCount val="17"/>
                <c:pt idx="0">
                  <c:v>533</c:v>
                </c:pt>
                <c:pt idx="1">
                  <c:v>693</c:v>
                </c:pt>
                <c:pt idx="5">
                  <c:v>1008</c:v>
                </c:pt>
                <c:pt idx="6">
                  <c:v>557</c:v>
                </c:pt>
                <c:pt idx="7">
                  <c:v>631</c:v>
                </c:pt>
                <c:pt idx="8">
                  <c:v>577</c:v>
                </c:pt>
                <c:pt idx="9">
                  <c:v>615</c:v>
                </c:pt>
                <c:pt idx="10">
                  <c:v>555</c:v>
                </c:pt>
                <c:pt idx="11">
                  <c:v>620</c:v>
                </c:pt>
                <c:pt idx="12">
                  <c:v>764</c:v>
                </c:pt>
                <c:pt idx="13">
                  <c:v>424</c:v>
                </c:pt>
                <c:pt idx="15">
                  <c:v>546</c:v>
                </c:pt>
                <c:pt idx="16">
                  <c:v>763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GA_Data1!$J$5:$J$21</c:f>
              <c:numCache>
                <c:ptCount val="17"/>
                <c:pt idx="0">
                  <c:v>952</c:v>
                </c:pt>
                <c:pt idx="1">
                  <c:v>1168</c:v>
                </c:pt>
                <c:pt idx="5">
                  <c:v>1596</c:v>
                </c:pt>
                <c:pt idx="6">
                  <c:v>921</c:v>
                </c:pt>
                <c:pt idx="7">
                  <c:v>1031</c:v>
                </c:pt>
                <c:pt idx="8">
                  <c:v>947</c:v>
                </c:pt>
                <c:pt idx="9">
                  <c:v>976</c:v>
                </c:pt>
                <c:pt idx="10">
                  <c:v>893</c:v>
                </c:pt>
                <c:pt idx="11">
                  <c:v>991</c:v>
                </c:pt>
                <c:pt idx="12">
                  <c:v>1152</c:v>
                </c:pt>
                <c:pt idx="13">
                  <c:v>745</c:v>
                </c:pt>
                <c:pt idx="15">
                  <c:v>877</c:v>
                </c:pt>
                <c:pt idx="16">
                  <c:v>1264</c:v>
                </c:pt>
              </c:numCache>
            </c:numRef>
          </c:yVal>
          <c:smooth val="1"/>
        </c:ser>
        <c:axId val="29301081"/>
        <c:axId val="62383138"/>
      </c:scatterChart>
      <c:scatterChart>
        <c:scatterStyle val="lineMarker"/>
        <c:varyColors val="0"/>
        <c:ser>
          <c:idx val="5"/>
          <c:order val="3"/>
          <c:tx>
            <c:strRef>
              <c:f>GA_Data1!$A$23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GA_Data1!$I$28:$I$44</c:f>
              <c:numCache>
                <c:ptCount val="17"/>
                <c:pt idx="0">
                  <c:v>55.98739495798319</c:v>
                </c:pt>
                <c:pt idx="1">
                  <c:v>59.332191780821915</c:v>
                </c:pt>
                <c:pt idx="5">
                  <c:v>63.1578947368421</c:v>
                </c:pt>
                <c:pt idx="6">
                  <c:v>60.477741585233446</c:v>
                </c:pt>
                <c:pt idx="7">
                  <c:v>61.202715809893306</c:v>
                </c:pt>
                <c:pt idx="8">
                  <c:v>60.929250263991555</c:v>
                </c:pt>
                <c:pt idx="9">
                  <c:v>63.01229508196722</c:v>
                </c:pt>
                <c:pt idx="10">
                  <c:v>62.150055991041434</c:v>
                </c:pt>
                <c:pt idx="11">
                  <c:v>62.56306760847629</c:v>
                </c:pt>
                <c:pt idx="12">
                  <c:v>66.31944444444444</c:v>
                </c:pt>
                <c:pt idx="13">
                  <c:v>56.91275167785235</c:v>
                </c:pt>
                <c:pt idx="15">
                  <c:v>62.25769669327252</c:v>
                </c:pt>
                <c:pt idx="16">
                  <c:v>60.36392405063291</c:v>
                </c:pt>
              </c:numCache>
            </c:numRef>
          </c:yVal>
          <c:smooth val="0"/>
        </c:ser>
        <c:axId val="24577331"/>
        <c:axId val="19869388"/>
      </c:scatterChart>
      <c:valAx>
        <c:axId val="2930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383138"/>
        <c:crossesAt val="0"/>
        <c:crossBetween val="midCat"/>
        <c:dispUnits/>
        <c:majorUnit val="1"/>
      </c:valAx>
      <c:valAx>
        <c:axId val="6238313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301081"/>
        <c:crosses val="autoZero"/>
        <c:crossBetween val="midCat"/>
        <c:dispUnits/>
        <c:majorUnit val="250"/>
      </c:valAx>
      <c:valAx>
        <c:axId val="24577331"/>
        <c:scaling>
          <c:orientation val="minMax"/>
        </c:scaling>
        <c:axPos val="b"/>
        <c:delete val="1"/>
        <c:majorTickMark val="in"/>
        <c:minorTickMark val="none"/>
        <c:tickLblPos val="nextTo"/>
        <c:crossAx val="19869388"/>
        <c:crosses val="max"/>
        <c:crossBetween val="midCat"/>
        <c:dispUnits/>
      </c:valAx>
      <c:valAx>
        <c:axId val="19869388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57733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GA_Data3!$L$44:$L$60</c:f>
              <c:numCache>
                <c:ptCount val="17"/>
                <c:pt idx="0">
                  <c:v>16.229672722258396</c:v>
                </c:pt>
                <c:pt idx="1">
                  <c:v>18.23455005767876</c:v>
                </c:pt>
                <c:pt idx="5">
                  <c:v>22.18676197415393</c:v>
                </c:pt>
                <c:pt idx="6">
                  <c:v>13.71715231917854</c:v>
                </c:pt>
                <c:pt idx="7">
                  <c:v>15.001263856479909</c:v>
                </c:pt>
                <c:pt idx="8">
                  <c:v>13.644426251876109</c:v>
                </c:pt>
                <c:pt idx="9">
                  <c:v>12.988840031820859</c:v>
                </c:pt>
                <c:pt idx="10">
                  <c:v>11.852961557128468</c:v>
                </c:pt>
                <c:pt idx="11">
                  <c:v>12.707455200226336</c:v>
                </c:pt>
                <c:pt idx="12">
                  <c:v>13.030226094572575</c:v>
                </c:pt>
                <c:pt idx="13">
                  <c:v>10.606272371056969</c:v>
                </c:pt>
                <c:pt idx="15">
                  <c:v>10.599193884873541</c:v>
                </c:pt>
                <c:pt idx="16">
                  <c:v>15.767946188815019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GA_Data3!$M$44:$M$60</c:f>
              <c:numCache>
                <c:ptCount val="17"/>
                <c:pt idx="0">
                  <c:v>467.1136234170281</c:v>
                </c:pt>
                <c:pt idx="1">
                  <c:v>593.5556811758056</c:v>
                </c:pt>
                <c:pt idx="5">
                  <c:v>801.3355592654424</c:v>
                </c:pt>
                <c:pt idx="6">
                  <c:v>437.95161303004335</c:v>
                </c:pt>
                <c:pt idx="7">
                  <c:v>488.81004578236724</c:v>
                </c:pt>
                <c:pt idx="8">
                  <c:v>434.0336545332822</c:v>
                </c:pt>
                <c:pt idx="9">
                  <c:v>448.93460154316705</c:v>
                </c:pt>
                <c:pt idx="10">
                  <c:v>393.4858593234879</c:v>
                </c:pt>
                <c:pt idx="11">
                  <c:v>430.08664164764804</c:v>
                </c:pt>
                <c:pt idx="12">
                  <c:v>523.1156879929886</c:v>
                </c:pt>
                <c:pt idx="13">
                  <c:v>286.0361727820391</c:v>
                </c:pt>
                <c:pt idx="15">
                  <c:v>353.135206803997</c:v>
                </c:pt>
                <c:pt idx="16">
                  <c:v>484.2046478569343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GA_Data3!$N$44:$N$60</c:f>
              <c:numCache>
                <c:ptCount val="17"/>
                <c:pt idx="0">
                  <c:v>35.31424484642013</c:v>
                </c:pt>
                <c:pt idx="1">
                  <c:v>42.91437076620155</c:v>
                </c:pt>
                <c:pt idx="5">
                  <c:v>57.49240188918015</c:v>
                </c:pt>
                <c:pt idx="6">
                  <c:v>33.1200250288137</c:v>
                </c:pt>
                <c:pt idx="7">
                  <c:v>36.880292152009766</c:v>
                </c:pt>
                <c:pt idx="8">
                  <c:v>33.29034063365545</c:v>
                </c:pt>
                <c:pt idx="9">
                  <c:v>33.46706443095704</c:v>
                </c:pt>
                <c:pt idx="10">
                  <c:v>29.839724258225555</c:v>
                </c:pt>
                <c:pt idx="11">
                  <c:v>32.346477449021656</c:v>
                </c:pt>
                <c:pt idx="12">
                  <c:v>36.878869560206674</c:v>
                </c:pt>
                <c:pt idx="13">
                  <c:v>23.466459027877523</c:v>
                </c:pt>
                <c:pt idx="15">
                  <c:v>26.758248832797257</c:v>
                </c:pt>
                <c:pt idx="16">
                  <c:v>37.90207231979274</c:v>
                </c:pt>
              </c:numCache>
            </c:numRef>
          </c:yVal>
          <c:smooth val="1"/>
        </c:ser>
        <c:axId val="44606765"/>
        <c:axId val="65916566"/>
      </c:scatterChart>
      <c:valAx>
        <c:axId val="4460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916566"/>
        <c:crossesAt val="0"/>
        <c:crossBetween val="midCat"/>
        <c:dispUnits/>
        <c:majorUnit val="1"/>
      </c:valAx>
      <c:valAx>
        <c:axId val="6591656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GEORGIA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GA_Data1!$K$5:$K$21</c:f>
              <c:numCache>
                <c:ptCount val="17"/>
                <c:pt idx="0">
                  <c:v>391</c:v>
                </c:pt>
                <c:pt idx="1">
                  <c:v>501</c:v>
                </c:pt>
                <c:pt idx="5">
                  <c:v>831</c:v>
                </c:pt>
                <c:pt idx="6">
                  <c:v>637</c:v>
                </c:pt>
                <c:pt idx="7">
                  <c:v>622</c:v>
                </c:pt>
                <c:pt idx="8">
                  <c:v>514</c:v>
                </c:pt>
                <c:pt idx="9">
                  <c:v>450</c:v>
                </c:pt>
                <c:pt idx="10">
                  <c:v>385</c:v>
                </c:pt>
                <c:pt idx="11">
                  <c:v>433</c:v>
                </c:pt>
                <c:pt idx="12">
                  <c:v>510</c:v>
                </c:pt>
                <c:pt idx="13">
                  <c:v>400</c:v>
                </c:pt>
                <c:pt idx="15">
                  <c:v>447</c:v>
                </c:pt>
                <c:pt idx="16">
                  <c:v>620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GA_Data1!$L$5:$L$21</c:f>
              <c:numCache>
                <c:ptCount val="17"/>
                <c:pt idx="0">
                  <c:v>339</c:v>
                </c:pt>
                <c:pt idx="1">
                  <c:v>546</c:v>
                </c:pt>
                <c:pt idx="5">
                  <c:v>2136</c:v>
                </c:pt>
                <c:pt idx="6">
                  <c:v>2105</c:v>
                </c:pt>
                <c:pt idx="7">
                  <c:v>2444</c:v>
                </c:pt>
                <c:pt idx="8">
                  <c:v>2018</c:v>
                </c:pt>
                <c:pt idx="9">
                  <c:v>1917</c:v>
                </c:pt>
                <c:pt idx="10">
                  <c:v>1648</c:v>
                </c:pt>
                <c:pt idx="11">
                  <c:v>1736</c:v>
                </c:pt>
                <c:pt idx="12">
                  <c:v>1886</c:v>
                </c:pt>
                <c:pt idx="13">
                  <c:v>1278</c:v>
                </c:pt>
                <c:pt idx="15">
                  <c:v>1174</c:v>
                </c:pt>
                <c:pt idx="16">
                  <c:v>1872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GA_Data1!$M$5:$M$21</c:f>
              <c:numCache>
                <c:ptCount val="17"/>
                <c:pt idx="0">
                  <c:v>730</c:v>
                </c:pt>
                <c:pt idx="1">
                  <c:v>1047</c:v>
                </c:pt>
                <c:pt idx="5">
                  <c:v>2967</c:v>
                </c:pt>
                <c:pt idx="6">
                  <c:v>2742</c:v>
                </c:pt>
                <c:pt idx="7">
                  <c:v>3066</c:v>
                </c:pt>
                <c:pt idx="8">
                  <c:v>2532</c:v>
                </c:pt>
                <c:pt idx="9">
                  <c:v>2367</c:v>
                </c:pt>
                <c:pt idx="10">
                  <c:v>2033</c:v>
                </c:pt>
                <c:pt idx="11">
                  <c:v>2169</c:v>
                </c:pt>
                <c:pt idx="12">
                  <c:v>2396</c:v>
                </c:pt>
                <c:pt idx="13">
                  <c:v>1678</c:v>
                </c:pt>
                <c:pt idx="15">
                  <c:v>1621</c:v>
                </c:pt>
                <c:pt idx="16">
                  <c:v>2492</c:v>
                </c:pt>
              </c:numCache>
            </c:numRef>
          </c:yVal>
          <c:smooth val="1"/>
        </c:ser>
        <c:axId val="56378183"/>
        <c:axId val="37641600"/>
      </c:scatterChart>
      <c:scatterChart>
        <c:scatterStyle val="lineMarker"/>
        <c:varyColors val="0"/>
        <c:ser>
          <c:idx val="5"/>
          <c:order val="3"/>
          <c:tx>
            <c:strRef>
              <c:f>GA_Data1!$A$23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GA_Data1!$L$28:$L$44</c:f>
              <c:numCache>
                <c:ptCount val="17"/>
                <c:pt idx="0">
                  <c:v>46.438356164383556</c:v>
                </c:pt>
                <c:pt idx="1">
                  <c:v>52.14899713467048</c:v>
                </c:pt>
                <c:pt idx="5">
                  <c:v>71.99191102123356</c:v>
                </c:pt>
                <c:pt idx="6">
                  <c:v>76.76878191101386</c:v>
                </c:pt>
                <c:pt idx="7">
                  <c:v>79.7129810828441</c:v>
                </c:pt>
                <c:pt idx="8">
                  <c:v>79.69984202211691</c:v>
                </c:pt>
                <c:pt idx="9">
                  <c:v>80.98859315589354</c:v>
                </c:pt>
                <c:pt idx="10">
                  <c:v>81.06246925725529</c:v>
                </c:pt>
                <c:pt idx="11">
                  <c:v>80.03688335638543</c:v>
                </c:pt>
                <c:pt idx="12">
                  <c:v>78.71452420701168</c:v>
                </c:pt>
                <c:pt idx="13">
                  <c:v>76.16209773539929</c:v>
                </c:pt>
                <c:pt idx="15">
                  <c:v>72.42442936458976</c:v>
                </c:pt>
                <c:pt idx="16">
                  <c:v>75.12038523274478</c:v>
                </c:pt>
              </c:numCache>
            </c:numRef>
          </c:yVal>
          <c:smooth val="0"/>
        </c:ser>
        <c:axId val="3230081"/>
        <c:axId val="29070730"/>
      </c:scatterChart>
      <c:valAx>
        <c:axId val="5637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At val="0"/>
        <c:crossBetween val="midCat"/>
        <c:dispUnits/>
        <c:majorUnit val="1"/>
      </c:valAx>
      <c:valAx>
        <c:axId val="37641600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378183"/>
        <c:crosses val="autoZero"/>
        <c:crossBetween val="midCat"/>
        <c:dispUnits/>
        <c:majorUnit val="500"/>
      </c:valAx>
      <c:valAx>
        <c:axId val="3230081"/>
        <c:scaling>
          <c:orientation val="minMax"/>
        </c:scaling>
        <c:axPos val="b"/>
        <c:delete val="1"/>
        <c:majorTickMark val="in"/>
        <c:minorTickMark val="none"/>
        <c:tickLblPos val="nextTo"/>
        <c:crossAx val="29070730"/>
        <c:crosses val="max"/>
        <c:crossBetween val="midCat"/>
        <c:dispUnits/>
      </c:valAx>
      <c:valAx>
        <c:axId val="2907073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300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showZeros="0" zoomScale="55" zoomScaleNormal="55" workbookViewId="0" topLeftCell="A69">
      <selection activeCell="J112" sqref="J112:M113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37</v>
      </c>
    </row>
    <row r="2" ht="12.75">
      <c r="A2" s="4" t="str">
        <f>CONCATENATE("New Admissions by Race (BW Only) x Offense: ",$A$1)</f>
        <v>New Admissions by Race (BW Only) x Offense: GEORGIA</v>
      </c>
    </row>
    <row r="3" spans="2:19" s="4" customFormat="1" ht="12.75">
      <c r="B3" s="32" t="s">
        <v>14</v>
      </c>
      <c r="C3" s="32"/>
      <c r="D3" s="32"/>
      <c r="E3" s="32" t="s">
        <v>15</v>
      </c>
      <c r="F3" s="32"/>
      <c r="G3" s="32"/>
      <c r="H3" s="32" t="s">
        <v>16</v>
      </c>
      <c r="I3" s="32"/>
      <c r="J3" s="32"/>
      <c r="K3" s="32" t="s">
        <v>17</v>
      </c>
      <c r="L3" s="32"/>
      <c r="M3" s="32"/>
      <c r="N3" s="32" t="s">
        <v>18</v>
      </c>
      <c r="O3" s="32"/>
      <c r="P3" s="32"/>
      <c r="Q3" s="32" t="s">
        <v>19</v>
      </c>
      <c r="R3" s="32"/>
      <c r="S3" s="32"/>
    </row>
    <row r="4" spans="1:19" s="12" customFormat="1" ht="12.75">
      <c r="A4" s="15" t="s">
        <v>25</v>
      </c>
      <c r="B4" s="16" t="s">
        <v>11</v>
      </c>
      <c r="C4" s="16" t="s">
        <v>12</v>
      </c>
      <c r="D4" s="17" t="s">
        <v>31</v>
      </c>
      <c r="E4" s="16" t="s">
        <v>11</v>
      </c>
      <c r="F4" s="16" t="s">
        <v>12</v>
      </c>
      <c r="G4" s="17" t="s">
        <v>31</v>
      </c>
      <c r="H4" s="16" t="s">
        <v>11</v>
      </c>
      <c r="I4" s="16" t="s">
        <v>12</v>
      </c>
      <c r="J4" s="17" t="s">
        <v>31</v>
      </c>
      <c r="K4" s="16" t="s">
        <v>11</v>
      </c>
      <c r="L4" s="16" t="s">
        <v>12</v>
      </c>
      <c r="M4" s="17" t="s">
        <v>31</v>
      </c>
      <c r="N4" s="16" t="s">
        <v>11</v>
      </c>
      <c r="O4" s="16" t="s">
        <v>12</v>
      </c>
      <c r="P4" s="17" t="s">
        <v>31</v>
      </c>
      <c r="Q4" s="16" t="s">
        <v>11</v>
      </c>
      <c r="R4" s="16" t="s">
        <v>12</v>
      </c>
      <c r="S4" s="17" t="s">
        <v>31</v>
      </c>
    </row>
    <row r="5" spans="1:19" ht="12.75">
      <c r="A5" s="9">
        <v>1983</v>
      </c>
      <c r="B5" s="31">
        <v>494</v>
      </c>
      <c r="C5" s="31">
        <v>695</v>
      </c>
      <c r="D5" s="30">
        <v>1189</v>
      </c>
      <c r="E5" s="2">
        <v>982</v>
      </c>
      <c r="F5" s="2">
        <v>1539</v>
      </c>
      <c r="G5" s="30">
        <v>2521</v>
      </c>
      <c r="H5">
        <v>419</v>
      </c>
      <c r="I5">
        <v>533</v>
      </c>
      <c r="J5" s="30">
        <v>952</v>
      </c>
      <c r="K5">
        <v>391</v>
      </c>
      <c r="L5">
        <v>339</v>
      </c>
      <c r="M5" s="10">
        <v>730</v>
      </c>
      <c r="N5">
        <v>389</v>
      </c>
      <c r="O5">
        <v>276</v>
      </c>
      <c r="P5" s="30">
        <v>665</v>
      </c>
      <c r="Q5" s="2">
        <v>2675</v>
      </c>
      <c r="R5" s="2">
        <v>3382</v>
      </c>
      <c r="S5" s="30">
        <v>6057</v>
      </c>
    </row>
    <row r="6" spans="1:19" ht="12.75">
      <c r="A6" s="9">
        <v>1984</v>
      </c>
      <c r="B6" s="8">
        <v>499</v>
      </c>
      <c r="C6" s="31">
        <v>733</v>
      </c>
      <c r="D6" s="30">
        <v>1232</v>
      </c>
      <c r="E6">
        <v>792</v>
      </c>
      <c r="F6" s="2">
        <v>1267</v>
      </c>
      <c r="G6" s="30">
        <v>2059</v>
      </c>
      <c r="H6">
        <v>475</v>
      </c>
      <c r="I6">
        <v>693</v>
      </c>
      <c r="J6" s="30">
        <v>1168</v>
      </c>
      <c r="K6">
        <v>501</v>
      </c>
      <c r="L6">
        <v>546</v>
      </c>
      <c r="M6" s="30">
        <v>1047</v>
      </c>
      <c r="N6">
        <v>755</v>
      </c>
      <c r="O6">
        <v>579</v>
      </c>
      <c r="P6" s="30">
        <v>1334</v>
      </c>
      <c r="Q6" s="2">
        <v>3022</v>
      </c>
      <c r="R6" s="2">
        <v>3818</v>
      </c>
      <c r="S6" s="30">
        <v>6840</v>
      </c>
    </row>
    <row r="7" spans="1:19" ht="12.75">
      <c r="A7" s="9">
        <v>1985</v>
      </c>
      <c r="B7" s="8"/>
      <c r="C7" s="8"/>
      <c r="D7" s="10"/>
      <c r="G7" s="10"/>
      <c r="J7" s="10"/>
      <c r="M7" s="10"/>
      <c r="P7" s="10"/>
      <c r="S7" s="10"/>
    </row>
    <row r="8" spans="1:19" ht="12.75">
      <c r="A8" s="9">
        <v>1986</v>
      </c>
      <c r="B8" s="8"/>
      <c r="C8" s="8"/>
      <c r="D8" s="10"/>
      <c r="G8" s="10"/>
      <c r="J8" s="10"/>
      <c r="M8" s="10"/>
      <c r="P8" s="10"/>
      <c r="S8" s="10"/>
    </row>
    <row r="9" spans="1:19" ht="12.75">
      <c r="A9" s="9">
        <v>1987</v>
      </c>
      <c r="B9" s="8">
        <v>128</v>
      </c>
      <c r="C9" s="8">
        <v>250</v>
      </c>
      <c r="D9" s="10">
        <v>378</v>
      </c>
      <c r="G9" s="10"/>
      <c r="J9" s="10"/>
      <c r="M9" s="10"/>
      <c r="N9" s="2">
        <v>3450</v>
      </c>
      <c r="O9" s="2">
        <v>4839</v>
      </c>
      <c r="P9" s="30">
        <v>8289</v>
      </c>
      <c r="Q9" s="2">
        <v>3578</v>
      </c>
      <c r="R9" s="2">
        <v>5089</v>
      </c>
      <c r="S9" s="30">
        <v>8667</v>
      </c>
    </row>
    <row r="10" spans="1:19" ht="12.75">
      <c r="A10" s="9">
        <v>1988</v>
      </c>
      <c r="B10" s="31">
        <v>789</v>
      </c>
      <c r="C10" s="31">
        <v>1291</v>
      </c>
      <c r="D10" s="30">
        <v>2080</v>
      </c>
      <c r="E10" s="2">
        <v>1213</v>
      </c>
      <c r="F10" s="2">
        <v>2247</v>
      </c>
      <c r="G10" s="30">
        <v>3460</v>
      </c>
      <c r="H10">
        <v>588</v>
      </c>
      <c r="I10" s="2">
        <v>1008</v>
      </c>
      <c r="J10" s="30">
        <v>1596</v>
      </c>
      <c r="K10">
        <v>831</v>
      </c>
      <c r="L10" s="2">
        <v>2136</v>
      </c>
      <c r="M10" s="30">
        <v>2967</v>
      </c>
      <c r="N10" s="2">
        <v>2509</v>
      </c>
      <c r="O10" s="2">
        <v>3185</v>
      </c>
      <c r="P10" s="30">
        <v>5694</v>
      </c>
      <c r="Q10" s="2">
        <v>5930</v>
      </c>
      <c r="R10" s="2">
        <v>9867</v>
      </c>
      <c r="S10" s="30">
        <v>15797</v>
      </c>
    </row>
    <row r="11" spans="1:19" ht="12.75">
      <c r="A11" s="9">
        <v>1989</v>
      </c>
      <c r="B11" s="8">
        <v>717</v>
      </c>
      <c r="C11" s="31">
        <v>1012</v>
      </c>
      <c r="D11" s="30">
        <v>1729</v>
      </c>
      <c r="E11">
        <v>747</v>
      </c>
      <c r="F11" s="2">
        <v>1689</v>
      </c>
      <c r="G11" s="30">
        <v>2436</v>
      </c>
      <c r="H11">
        <v>364</v>
      </c>
      <c r="I11">
        <v>557</v>
      </c>
      <c r="J11" s="30">
        <v>921</v>
      </c>
      <c r="K11">
        <v>637</v>
      </c>
      <c r="L11" s="2">
        <v>2105</v>
      </c>
      <c r="M11" s="30">
        <v>2742</v>
      </c>
      <c r="N11">
        <v>613</v>
      </c>
      <c r="O11">
        <v>564</v>
      </c>
      <c r="P11" s="30">
        <v>1177</v>
      </c>
      <c r="Q11" s="2">
        <v>3078</v>
      </c>
      <c r="R11" s="2">
        <v>5927</v>
      </c>
      <c r="S11" s="30">
        <v>9005</v>
      </c>
    </row>
    <row r="12" spans="1:19" ht="12.75">
      <c r="A12" s="9">
        <v>1990</v>
      </c>
      <c r="B12" s="8">
        <v>708</v>
      </c>
      <c r="C12" s="31">
        <v>1022</v>
      </c>
      <c r="D12" s="30">
        <v>1730</v>
      </c>
      <c r="E12">
        <v>749</v>
      </c>
      <c r="F12" s="2">
        <v>1569</v>
      </c>
      <c r="G12" s="30">
        <v>2318</v>
      </c>
      <c r="H12">
        <v>400</v>
      </c>
      <c r="I12">
        <v>631</v>
      </c>
      <c r="J12" s="30">
        <v>1031</v>
      </c>
      <c r="K12">
        <v>622</v>
      </c>
      <c r="L12" s="2">
        <v>2444</v>
      </c>
      <c r="M12" s="30">
        <v>3066</v>
      </c>
      <c r="N12">
        <v>615</v>
      </c>
      <c r="O12">
        <v>612</v>
      </c>
      <c r="P12" s="30">
        <v>1227</v>
      </c>
      <c r="Q12" s="2">
        <v>3094</v>
      </c>
      <c r="R12" s="2">
        <v>6278</v>
      </c>
      <c r="S12" s="30">
        <v>9372</v>
      </c>
    </row>
    <row r="13" spans="1:19" ht="12.75">
      <c r="A13" s="9">
        <v>1991</v>
      </c>
      <c r="B13" s="8">
        <v>613</v>
      </c>
      <c r="C13" s="31">
        <v>1002</v>
      </c>
      <c r="D13" s="30">
        <v>1615</v>
      </c>
      <c r="E13">
        <v>578</v>
      </c>
      <c r="F13" s="2">
        <v>1322</v>
      </c>
      <c r="G13" s="30">
        <v>1900</v>
      </c>
      <c r="H13">
        <v>370</v>
      </c>
      <c r="I13">
        <v>577</v>
      </c>
      <c r="J13" s="30">
        <v>947</v>
      </c>
      <c r="K13">
        <v>514</v>
      </c>
      <c r="L13" s="2">
        <v>2018</v>
      </c>
      <c r="M13" s="30">
        <v>2532</v>
      </c>
      <c r="N13">
        <v>618</v>
      </c>
      <c r="O13">
        <v>508</v>
      </c>
      <c r="P13" s="30">
        <v>1126</v>
      </c>
      <c r="Q13" s="2">
        <v>2693</v>
      </c>
      <c r="R13" s="2">
        <v>5427</v>
      </c>
      <c r="S13" s="30">
        <v>8120</v>
      </c>
    </row>
    <row r="14" spans="1:19" ht="12.75">
      <c r="A14" s="9">
        <v>1992</v>
      </c>
      <c r="B14" s="8">
        <v>676</v>
      </c>
      <c r="C14" s="31">
        <v>1036</v>
      </c>
      <c r="D14" s="30">
        <v>1712</v>
      </c>
      <c r="E14">
        <v>603</v>
      </c>
      <c r="F14" s="2">
        <v>1246</v>
      </c>
      <c r="G14" s="30">
        <v>1849</v>
      </c>
      <c r="H14">
        <v>361</v>
      </c>
      <c r="I14">
        <v>615</v>
      </c>
      <c r="J14" s="30">
        <v>976</v>
      </c>
      <c r="K14">
        <v>450</v>
      </c>
      <c r="L14" s="2">
        <v>1917</v>
      </c>
      <c r="M14" s="30">
        <v>2367</v>
      </c>
      <c r="N14">
        <v>598</v>
      </c>
      <c r="O14">
        <v>567</v>
      </c>
      <c r="P14" s="30">
        <v>1165</v>
      </c>
      <c r="Q14" s="2">
        <v>2688</v>
      </c>
      <c r="R14" s="2">
        <v>5381</v>
      </c>
      <c r="S14" s="30">
        <v>8069</v>
      </c>
    </row>
    <row r="15" spans="1:19" ht="12.75">
      <c r="A15" s="9">
        <v>1993</v>
      </c>
      <c r="B15" s="8">
        <v>642</v>
      </c>
      <c r="C15" s="31">
        <v>1020</v>
      </c>
      <c r="D15" s="30">
        <v>1662</v>
      </c>
      <c r="E15">
        <v>500</v>
      </c>
      <c r="F15" s="2">
        <v>1312</v>
      </c>
      <c r="G15" s="30">
        <v>1812</v>
      </c>
      <c r="H15">
        <v>338</v>
      </c>
      <c r="I15">
        <v>555</v>
      </c>
      <c r="J15" s="30">
        <v>893</v>
      </c>
      <c r="K15">
        <v>385</v>
      </c>
      <c r="L15" s="2">
        <v>1648</v>
      </c>
      <c r="M15" s="30">
        <v>2033</v>
      </c>
      <c r="N15">
        <v>581</v>
      </c>
      <c r="O15">
        <v>500</v>
      </c>
      <c r="P15" s="30">
        <v>1081</v>
      </c>
      <c r="Q15" s="2">
        <v>2446</v>
      </c>
      <c r="R15" s="2">
        <v>5035</v>
      </c>
      <c r="S15" s="30">
        <v>7481</v>
      </c>
    </row>
    <row r="16" spans="1:19" ht="12.75">
      <c r="A16" s="9">
        <v>1994</v>
      </c>
      <c r="B16" s="8">
        <v>673</v>
      </c>
      <c r="C16" s="31">
        <v>991</v>
      </c>
      <c r="D16" s="30">
        <v>1664</v>
      </c>
      <c r="E16">
        <v>548</v>
      </c>
      <c r="F16" s="2">
        <v>1215</v>
      </c>
      <c r="G16" s="30">
        <v>1763</v>
      </c>
      <c r="H16">
        <v>371</v>
      </c>
      <c r="I16">
        <v>620</v>
      </c>
      <c r="J16" s="30">
        <v>991</v>
      </c>
      <c r="K16">
        <v>433</v>
      </c>
      <c r="L16" s="2">
        <v>1736</v>
      </c>
      <c r="M16" s="30">
        <v>2169</v>
      </c>
      <c r="N16">
        <v>591</v>
      </c>
      <c r="O16">
        <v>497</v>
      </c>
      <c r="P16" s="30">
        <v>1088</v>
      </c>
      <c r="Q16" s="2">
        <v>2616</v>
      </c>
      <c r="R16" s="2">
        <v>5059</v>
      </c>
      <c r="S16" s="30">
        <v>7675</v>
      </c>
    </row>
    <row r="17" spans="1:19" ht="12.75">
      <c r="A17" s="9">
        <v>1995</v>
      </c>
      <c r="B17" s="8">
        <v>645</v>
      </c>
      <c r="C17" s="31">
        <v>1047</v>
      </c>
      <c r="D17" s="30">
        <v>1692</v>
      </c>
      <c r="E17">
        <v>507</v>
      </c>
      <c r="F17" s="2">
        <v>1181</v>
      </c>
      <c r="G17" s="30">
        <v>1688</v>
      </c>
      <c r="H17">
        <v>388</v>
      </c>
      <c r="I17">
        <v>764</v>
      </c>
      <c r="J17" s="30">
        <v>1152</v>
      </c>
      <c r="K17">
        <v>510</v>
      </c>
      <c r="L17" s="2">
        <v>1886</v>
      </c>
      <c r="M17" s="30">
        <v>2396</v>
      </c>
      <c r="N17">
        <v>718</v>
      </c>
      <c r="O17">
        <v>610</v>
      </c>
      <c r="P17" s="30">
        <v>1328</v>
      </c>
      <c r="Q17" s="2">
        <v>2768</v>
      </c>
      <c r="R17" s="2">
        <v>5488</v>
      </c>
      <c r="S17" s="30">
        <v>8256</v>
      </c>
    </row>
    <row r="18" spans="1:19" ht="12.75">
      <c r="A18" s="9">
        <v>1996</v>
      </c>
      <c r="B18" s="8">
        <v>544</v>
      </c>
      <c r="C18" s="8">
        <v>893</v>
      </c>
      <c r="D18" s="30">
        <v>1437</v>
      </c>
      <c r="E18">
        <v>465</v>
      </c>
      <c r="F18">
        <v>845</v>
      </c>
      <c r="G18" s="30">
        <v>1310</v>
      </c>
      <c r="H18">
        <v>321</v>
      </c>
      <c r="I18">
        <v>424</v>
      </c>
      <c r="J18" s="30">
        <v>745</v>
      </c>
      <c r="K18">
        <v>400</v>
      </c>
      <c r="L18" s="2">
        <v>1278</v>
      </c>
      <c r="M18" s="30">
        <v>1678</v>
      </c>
      <c r="N18">
        <v>409</v>
      </c>
      <c r="O18">
        <v>349</v>
      </c>
      <c r="P18" s="30">
        <v>758</v>
      </c>
      <c r="Q18" s="2">
        <v>2139</v>
      </c>
      <c r="R18" s="2">
        <v>3789</v>
      </c>
      <c r="S18" s="30">
        <v>5928</v>
      </c>
    </row>
    <row r="19" spans="1:19" ht="12.75">
      <c r="A19" s="9">
        <v>1997</v>
      </c>
      <c r="B19" s="8"/>
      <c r="C19" s="8"/>
      <c r="D19" s="10"/>
      <c r="G19" s="10"/>
      <c r="J19" s="10"/>
      <c r="M19" s="10"/>
      <c r="P19" s="10"/>
      <c r="S19" s="10"/>
    </row>
    <row r="20" spans="1:19" ht="12.75">
      <c r="A20" s="9">
        <v>1998</v>
      </c>
      <c r="B20" s="8">
        <v>570</v>
      </c>
      <c r="C20" s="8">
        <v>816</v>
      </c>
      <c r="D20" s="30">
        <v>1386</v>
      </c>
      <c r="E20">
        <v>495</v>
      </c>
      <c r="F20">
        <v>786</v>
      </c>
      <c r="G20" s="30">
        <v>1281</v>
      </c>
      <c r="H20">
        <v>331</v>
      </c>
      <c r="I20">
        <v>546</v>
      </c>
      <c r="J20" s="30">
        <v>877</v>
      </c>
      <c r="K20">
        <v>447</v>
      </c>
      <c r="L20" s="2">
        <v>1174</v>
      </c>
      <c r="M20" s="30">
        <v>1621</v>
      </c>
      <c r="N20">
        <v>408</v>
      </c>
      <c r="O20">
        <v>356</v>
      </c>
      <c r="P20" s="10">
        <v>764</v>
      </c>
      <c r="Q20" s="2">
        <v>2251</v>
      </c>
      <c r="R20" s="2">
        <v>3678</v>
      </c>
      <c r="S20" s="30">
        <v>5929</v>
      </c>
    </row>
    <row r="21" spans="1:19" ht="12.75">
      <c r="A21" s="9">
        <v>1999</v>
      </c>
      <c r="B21" s="8">
        <v>726</v>
      </c>
      <c r="C21" s="31">
        <v>1041</v>
      </c>
      <c r="D21" s="30">
        <v>1767</v>
      </c>
      <c r="E21">
        <v>572</v>
      </c>
      <c r="F21" s="2">
        <v>1015</v>
      </c>
      <c r="G21" s="30">
        <v>1587</v>
      </c>
      <c r="H21">
        <v>501</v>
      </c>
      <c r="I21" s="2">
        <v>763</v>
      </c>
      <c r="J21" s="30">
        <v>1264</v>
      </c>
      <c r="K21">
        <v>620</v>
      </c>
      <c r="L21" s="2">
        <v>1872</v>
      </c>
      <c r="M21" s="30">
        <v>2492</v>
      </c>
      <c r="N21">
        <v>590</v>
      </c>
      <c r="O21">
        <v>533</v>
      </c>
      <c r="P21" s="30">
        <v>1123</v>
      </c>
      <c r="Q21" s="2">
        <v>3009</v>
      </c>
      <c r="R21" s="2">
        <v>5224</v>
      </c>
      <c r="S21" s="30">
        <v>8233</v>
      </c>
    </row>
    <row r="22" ht="12.75" hidden="1"/>
    <row r="23" ht="12.75" hidden="1">
      <c r="A23" t="s">
        <v>32</v>
      </c>
    </row>
    <row r="25" ht="12.75">
      <c r="A25" s="4" t="str">
        <f>CONCATENATE("Percent of Total New Admissions by Race (BW Only) x Offense: ",$A$1)</f>
        <v>Percent of Total New Admissions by Race (BW Only) x Offense: GEORGIA</v>
      </c>
    </row>
    <row r="26" spans="2:19" s="4" customFormat="1" ht="12.75">
      <c r="B26" s="32" t="s">
        <v>14</v>
      </c>
      <c r="C26" s="32"/>
      <c r="D26" s="32"/>
      <c r="E26" s="32" t="s">
        <v>15</v>
      </c>
      <c r="F26" s="32"/>
      <c r="G26" s="32"/>
      <c r="H26" s="32" t="s">
        <v>16</v>
      </c>
      <c r="I26" s="32"/>
      <c r="J26" s="32"/>
      <c r="K26" s="32" t="s">
        <v>17</v>
      </c>
      <c r="L26" s="32"/>
      <c r="M26" s="32"/>
      <c r="N26" s="32" t="s">
        <v>18</v>
      </c>
      <c r="O26" s="32"/>
      <c r="P26" s="32"/>
      <c r="Q26" s="32" t="s">
        <v>19</v>
      </c>
      <c r="R26" s="32"/>
      <c r="S26" s="32"/>
    </row>
    <row r="27" spans="1:19" s="12" customFormat="1" ht="12.75">
      <c r="A27" s="15" t="s">
        <v>25</v>
      </c>
      <c r="B27" s="16" t="s">
        <v>11</v>
      </c>
      <c r="C27" s="16" t="s">
        <v>12</v>
      </c>
      <c r="D27" s="17" t="s">
        <v>31</v>
      </c>
      <c r="E27" s="16" t="s">
        <v>11</v>
      </c>
      <c r="F27" s="16" t="s">
        <v>12</v>
      </c>
      <c r="G27" s="17" t="s">
        <v>31</v>
      </c>
      <c r="H27" s="16" t="s">
        <v>11</v>
      </c>
      <c r="I27" s="16" t="s">
        <v>12</v>
      </c>
      <c r="J27" s="17" t="s">
        <v>31</v>
      </c>
      <c r="K27" s="16" t="s">
        <v>11</v>
      </c>
      <c r="L27" s="16" t="s">
        <v>12</v>
      </c>
      <c r="M27" s="17" t="s">
        <v>31</v>
      </c>
      <c r="N27" s="16" t="s">
        <v>11</v>
      </c>
      <c r="O27" s="16" t="s">
        <v>12</v>
      </c>
      <c r="P27" s="17" t="s">
        <v>31</v>
      </c>
      <c r="Q27" s="16" t="s">
        <v>11</v>
      </c>
      <c r="R27" s="16" t="s">
        <v>12</v>
      </c>
      <c r="S27" s="17" t="s">
        <v>31</v>
      </c>
    </row>
    <row r="28" spans="1:19" ht="12.75">
      <c r="A28" s="9">
        <v>1983</v>
      </c>
      <c r="B28" s="1">
        <f>(B5/$D5)*100</f>
        <v>41.5475189234651</v>
      </c>
      <c r="C28" s="1">
        <f>(C5/$D5)*100</f>
        <v>58.4524810765349</v>
      </c>
      <c r="D28" s="11">
        <f>(D5/$D5)*100</f>
        <v>100</v>
      </c>
      <c r="E28" s="1">
        <f>(E5/$G5)*100</f>
        <v>38.95279650932169</v>
      </c>
      <c r="F28" s="1">
        <f>(F5/$G5)*100</f>
        <v>61.04720349067831</v>
      </c>
      <c r="G28" s="11">
        <f>(G5/$G5)*100</f>
        <v>100</v>
      </c>
      <c r="H28" s="1">
        <f>(H5/$J5)*100</f>
        <v>44.01260504201681</v>
      </c>
      <c r="I28" s="1">
        <f>(I5/$J5)*100</f>
        <v>55.98739495798319</v>
      </c>
      <c r="J28" s="11">
        <f>(J5/$J5)*100</f>
        <v>100</v>
      </c>
      <c r="K28" s="1">
        <f>(K5/$M5)*100</f>
        <v>53.56164383561644</v>
      </c>
      <c r="L28" s="1">
        <f>(L5/$M5)*100</f>
        <v>46.438356164383556</v>
      </c>
      <c r="M28" s="11">
        <f>(M5/$M5)*100</f>
        <v>100</v>
      </c>
      <c r="N28" s="1">
        <f>(N5/$P5)*100</f>
        <v>58.49624060150376</v>
      </c>
      <c r="O28" s="1">
        <f>(O5/$P5)*100</f>
        <v>41.50375939849624</v>
      </c>
      <c r="P28" s="11">
        <f>(P5/$P5)*100</f>
        <v>100</v>
      </c>
      <c r="Q28" s="1">
        <f>(Q5/$S5)*100</f>
        <v>44.16377744758131</v>
      </c>
      <c r="R28" s="1">
        <f>(R5/$S5)*100</f>
        <v>55.83622255241869</v>
      </c>
      <c r="S28" s="11">
        <f>(S5/$S5)*100</f>
        <v>100</v>
      </c>
    </row>
    <row r="29" spans="1:19" ht="12.75">
      <c r="A29" s="9">
        <v>1984</v>
      </c>
      <c r="B29" s="1">
        <f aca="true" t="shared" si="0" ref="B29:C44">(B6/$D6)*100</f>
        <v>40.50324675324675</v>
      </c>
      <c r="C29" s="1">
        <f t="shared" si="0"/>
        <v>59.496753246753244</v>
      </c>
      <c r="D29" s="11">
        <f aca="true" t="shared" si="1" ref="D29:D44">(D6/$D6)*100</f>
        <v>100</v>
      </c>
      <c r="E29" s="1">
        <f aca="true" t="shared" si="2" ref="E29:G44">(E6/$G6)*100</f>
        <v>38.465274405051</v>
      </c>
      <c r="F29" s="1">
        <f t="shared" si="2"/>
        <v>61.534725594949</v>
      </c>
      <c r="G29" s="11">
        <f t="shared" si="2"/>
        <v>100</v>
      </c>
      <c r="H29" s="1">
        <f aca="true" t="shared" si="3" ref="H29:J44">(H6/$J6)*100</f>
        <v>40.667808219178085</v>
      </c>
      <c r="I29" s="1">
        <f t="shared" si="3"/>
        <v>59.332191780821915</v>
      </c>
      <c r="J29" s="11">
        <f t="shared" si="3"/>
        <v>100</v>
      </c>
      <c r="K29" s="1">
        <f aca="true" t="shared" si="4" ref="K29:M44">(K6/$M6)*100</f>
        <v>47.85100286532951</v>
      </c>
      <c r="L29" s="1">
        <f t="shared" si="4"/>
        <v>52.14899713467048</v>
      </c>
      <c r="M29" s="11">
        <f t="shared" si="4"/>
        <v>100</v>
      </c>
      <c r="N29" s="1">
        <f aca="true" t="shared" si="5" ref="N29:P44">(N6/$P6)*100</f>
        <v>56.59670164917541</v>
      </c>
      <c r="O29" s="1">
        <f t="shared" si="5"/>
        <v>43.403298350824585</v>
      </c>
      <c r="P29" s="11">
        <f t="shared" si="5"/>
        <v>100</v>
      </c>
      <c r="Q29" s="1">
        <f aca="true" t="shared" si="6" ref="Q29:S44">(Q6/$S6)*100</f>
        <v>44.18128654970761</v>
      </c>
      <c r="R29" s="1">
        <f t="shared" si="6"/>
        <v>55.8187134502924</v>
      </c>
      <c r="S29" s="11">
        <f t="shared" si="6"/>
        <v>100</v>
      </c>
    </row>
    <row r="30" spans="1:19" ht="12.75">
      <c r="A30" s="9">
        <v>1985</v>
      </c>
      <c r="B30" s="1"/>
      <c r="C30" s="1"/>
      <c r="D30" s="11"/>
      <c r="E30" s="1"/>
      <c r="F30" s="1"/>
      <c r="G30" s="11"/>
      <c r="H30" s="1"/>
      <c r="I30" s="1"/>
      <c r="J30" s="11"/>
      <c r="K30" s="1"/>
      <c r="L30" s="1"/>
      <c r="M30" s="11"/>
      <c r="N30" s="1"/>
      <c r="O30" s="1"/>
      <c r="P30" s="11"/>
      <c r="Q30" s="1"/>
      <c r="R30" s="1"/>
      <c r="S30" s="11"/>
    </row>
    <row r="31" spans="1:19" ht="12.75">
      <c r="A31" s="9">
        <v>1986</v>
      </c>
      <c r="B31" s="1"/>
      <c r="C31" s="1"/>
      <c r="D31" s="11"/>
      <c r="E31" s="1"/>
      <c r="F31" s="1"/>
      <c r="G31" s="11"/>
      <c r="H31" s="1"/>
      <c r="I31" s="1"/>
      <c r="J31" s="11"/>
      <c r="K31" s="1"/>
      <c r="L31" s="1"/>
      <c r="M31" s="11"/>
      <c r="N31" s="1"/>
      <c r="O31" s="1"/>
      <c r="P31" s="11"/>
      <c r="Q31" s="1"/>
      <c r="R31" s="1"/>
      <c r="S31" s="11"/>
    </row>
    <row r="32" spans="1:19" ht="12.75">
      <c r="A32" s="9">
        <v>1987</v>
      </c>
      <c r="B32" s="1">
        <f t="shared" si="0"/>
        <v>33.86243386243386</v>
      </c>
      <c r="C32" s="1">
        <f t="shared" si="0"/>
        <v>66.13756613756614</v>
      </c>
      <c r="D32" s="11">
        <f t="shared" si="1"/>
        <v>100</v>
      </c>
      <c r="E32" s="1"/>
      <c r="F32" s="1"/>
      <c r="G32" s="11"/>
      <c r="H32" s="1"/>
      <c r="I32" s="1"/>
      <c r="J32" s="11"/>
      <c r="K32" s="1"/>
      <c r="L32" s="1"/>
      <c r="M32" s="11"/>
      <c r="N32" s="1">
        <f t="shared" si="5"/>
        <v>41.621425986246834</v>
      </c>
      <c r="O32" s="1">
        <f t="shared" si="5"/>
        <v>58.37857401375317</v>
      </c>
      <c r="P32" s="11">
        <f t="shared" si="5"/>
        <v>100</v>
      </c>
      <c r="Q32" s="1">
        <f t="shared" si="6"/>
        <v>41.28302757586247</v>
      </c>
      <c r="R32" s="1">
        <f t="shared" si="6"/>
        <v>58.71697242413754</v>
      </c>
      <c r="S32" s="11">
        <f t="shared" si="6"/>
        <v>100</v>
      </c>
    </row>
    <row r="33" spans="1:19" ht="12.75">
      <c r="A33" s="9">
        <v>1988</v>
      </c>
      <c r="B33" s="1">
        <f t="shared" si="0"/>
        <v>37.93269230769231</v>
      </c>
      <c r="C33" s="1">
        <f t="shared" si="0"/>
        <v>62.06730769230769</v>
      </c>
      <c r="D33" s="11">
        <f t="shared" si="1"/>
        <v>100</v>
      </c>
      <c r="E33" s="1">
        <f t="shared" si="2"/>
        <v>35.05780346820809</v>
      </c>
      <c r="F33" s="1">
        <f t="shared" si="2"/>
        <v>64.94219653179191</v>
      </c>
      <c r="G33" s="11">
        <f t="shared" si="2"/>
        <v>100</v>
      </c>
      <c r="H33" s="1">
        <f t="shared" si="3"/>
        <v>36.84210526315789</v>
      </c>
      <c r="I33" s="1">
        <f t="shared" si="3"/>
        <v>63.1578947368421</v>
      </c>
      <c r="J33" s="11">
        <f t="shared" si="3"/>
        <v>100</v>
      </c>
      <c r="K33" s="1">
        <f t="shared" si="4"/>
        <v>28.00808897876643</v>
      </c>
      <c r="L33" s="1">
        <f t="shared" si="4"/>
        <v>71.99191102123356</v>
      </c>
      <c r="M33" s="11">
        <f t="shared" si="4"/>
        <v>100</v>
      </c>
      <c r="N33" s="1">
        <f t="shared" si="5"/>
        <v>44.06392694063927</v>
      </c>
      <c r="O33" s="1">
        <f t="shared" si="5"/>
        <v>55.93607305936074</v>
      </c>
      <c r="P33" s="11">
        <f t="shared" si="5"/>
        <v>100</v>
      </c>
      <c r="Q33" s="1">
        <f t="shared" si="6"/>
        <v>37.538773184781924</v>
      </c>
      <c r="R33" s="1">
        <f t="shared" si="6"/>
        <v>62.461226815218076</v>
      </c>
      <c r="S33" s="11">
        <f t="shared" si="6"/>
        <v>100</v>
      </c>
    </row>
    <row r="34" spans="1:19" ht="12.75">
      <c r="A34" s="9">
        <v>1989</v>
      </c>
      <c r="B34" s="1">
        <f t="shared" si="0"/>
        <v>41.469057258530945</v>
      </c>
      <c r="C34" s="1">
        <f t="shared" si="0"/>
        <v>58.53094274146906</v>
      </c>
      <c r="D34" s="11">
        <f t="shared" si="1"/>
        <v>100</v>
      </c>
      <c r="E34" s="1">
        <f t="shared" si="2"/>
        <v>30.665024630541872</v>
      </c>
      <c r="F34" s="1">
        <f t="shared" si="2"/>
        <v>69.33497536945814</v>
      </c>
      <c r="G34" s="11">
        <f t="shared" si="2"/>
        <v>100</v>
      </c>
      <c r="H34" s="1">
        <f t="shared" si="3"/>
        <v>39.52225841476656</v>
      </c>
      <c r="I34" s="1">
        <f t="shared" si="3"/>
        <v>60.477741585233446</v>
      </c>
      <c r="J34" s="11">
        <f t="shared" si="3"/>
        <v>100</v>
      </c>
      <c r="K34" s="1">
        <f t="shared" si="4"/>
        <v>23.231218088986143</v>
      </c>
      <c r="L34" s="1">
        <f t="shared" si="4"/>
        <v>76.76878191101386</v>
      </c>
      <c r="M34" s="11">
        <f t="shared" si="4"/>
        <v>100</v>
      </c>
      <c r="N34" s="1">
        <f t="shared" si="5"/>
        <v>52.08156329651656</v>
      </c>
      <c r="O34" s="1">
        <f t="shared" si="5"/>
        <v>47.91843670348343</v>
      </c>
      <c r="P34" s="11">
        <f t="shared" si="5"/>
        <v>100</v>
      </c>
      <c r="Q34" s="1">
        <f t="shared" si="6"/>
        <v>34.18101054969461</v>
      </c>
      <c r="R34" s="1">
        <f t="shared" si="6"/>
        <v>65.81898945030538</v>
      </c>
      <c r="S34" s="11">
        <f t="shared" si="6"/>
        <v>100</v>
      </c>
    </row>
    <row r="35" spans="1:19" ht="12.75">
      <c r="A35" s="9">
        <v>1990</v>
      </c>
      <c r="B35" s="1">
        <f t="shared" si="0"/>
        <v>40.92485549132948</v>
      </c>
      <c r="C35" s="1">
        <f t="shared" si="0"/>
        <v>59.07514450867052</v>
      </c>
      <c r="D35" s="11">
        <f t="shared" si="1"/>
        <v>100</v>
      </c>
      <c r="E35" s="1">
        <f t="shared" si="2"/>
        <v>32.312338222605696</v>
      </c>
      <c r="F35" s="1">
        <f t="shared" si="2"/>
        <v>67.6876617773943</v>
      </c>
      <c r="G35" s="11">
        <f t="shared" si="2"/>
        <v>100</v>
      </c>
      <c r="H35" s="1">
        <f t="shared" si="3"/>
        <v>38.79728419010669</v>
      </c>
      <c r="I35" s="1">
        <f t="shared" si="3"/>
        <v>61.202715809893306</v>
      </c>
      <c r="J35" s="11">
        <f t="shared" si="3"/>
        <v>100</v>
      </c>
      <c r="K35" s="1">
        <f t="shared" si="4"/>
        <v>20.2870189171559</v>
      </c>
      <c r="L35" s="1">
        <f t="shared" si="4"/>
        <v>79.7129810828441</v>
      </c>
      <c r="M35" s="11">
        <f t="shared" si="4"/>
        <v>100</v>
      </c>
      <c r="N35" s="1">
        <f t="shared" si="5"/>
        <v>50.12224938875306</v>
      </c>
      <c r="O35" s="1">
        <f t="shared" si="5"/>
        <v>49.877750611246945</v>
      </c>
      <c r="P35" s="11">
        <f t="shared" si="5"/>
        <v>100</v>
      </c>
      <c r="Q35" s="1">
        <f t="shared" si="6"/>
        <v>33.013230900554845</v>
      </c>
      <c r="R35" s="1">
        <f t="shared" si="6"/>
        <v>66.98676909944516</v>
      </c>
      <c r="S35" s="11">
        <f t="shared" si="6"/>
        <v>100</v>
      </c>
    </row>
    <row r="36" spans="1:19" ht="12.75">
      <c r="A36" s="9">
        <v>1991</v>
      </c>
      <c r="B36" s="1">
        <f t="shared" si="0"/>
        <v>37.95665634674922</v>
      </c>
      <c r="C36" s="1">
        <f t="shared" si="0"/>
        <v>62.04334365325077</v>
      </c>
      <c r="D36" s="11">
        <f t="shared" si="1"/>
        <v>100</v>
      </c>
      <c r="E36" s="1">
        <f t="shared" si="2"/>
        <v>30.42105263157895</v>
      </c>
      <c r="F36" s="1">
        <f t="shared" si="2"/>
        <v>69.57894736842105</v>
      </c>
      <c r="G36" s="11">
        <f t="shared" si="2"/>
        <v>100</v>
      </c>
      <c r="H36" s="1">
        <f t="shared" si="3"/>
        <v>39.070749736008445</v>
      </c>
      <c r="I36" s="1">
        <f t="shared" si="3"/>
        <v>60.929250263991555</v>
      </c>
      <c r="J36" s="11">
        <f t="shared" si="3"/>
        <v>100</v>
      </c>
      <c r="K36" s="1">
        <f t="shared" si="4"/>
        <v>20.300157977883096</v>
      </c>
      <c r="L36" s="1">
        <f t="shared" si="4"/>
        <v>79.69984202211691</v>
      </c>
      <c r="M36" s="11">
        <f t="shared" si="4"/>
        <v>100</v>
      </c>
      <c r="N36" s="1">
        <f t="shared" si="5"/>
        <v>54.88454706927176</v>
      </c>
      <c r="O36" s="1">
        <f t="shared" si="5"/>
        <v>45.11545293072824</v>
      </c>
      <c r="P36" s="11">
        <f t="shared" si="5"/>
        <v>100</v>
      </c>
      <c r="Q36" s="1">
        <f t="shared" si="6"/>
        <v>33.16502463054187</v>
      </c>
      <c r="R36" s="1">
        <f t="shared" si="6"/>
        <v>66.83497536945812</v>
      </c>
      <c r="S36" s="11">
        <f t="shared" si="6"/>
        <v>100</v>
      </c>
    </row>
    <row r="37" spans="1:19" ht="12.75">
      <c r="A37" s="9">
        <v>1992</v>
      </c>
      <c r="B37" s="1">
        <f t="shared" si="0"/>
        <v>39.48598130841122</v>
      </c>
      <c r="C37" s="1">
        <f t="shared" si="0"/>
        <v>60.51401869158879</v>
      </c>
      <c r="D37" s="11">
        <f t="shared" si="1"/>
        <v>100</v>
      </c>
      <c r="E37" s="1">
        <f t="shared" si="2"/>
        <v>32.61222282314765</v>
      </c>
      <c r="F37" s="1">
        <f t="shared" si="2"/>
        <v>67.38777717685235</v>
      </c>
      <c r="G37" s="11">
        <f t="shared" si="2"/>
        <v>100</v>
      </c>
      <c r="H37" s="1">
        <f t="shared" si="3"/>
        <v>36.98770491803279</v>
      </c>
      <c r="I37" s="1">
        <f t="shared" si="3"/>
        <v>63.01229508196722</v>
      </c>
      <c r="J37" s="11">
        <f t="shared" si="3"/>
        <v>100</v>
      </c>
      <c r="K37" s="1">
        <f t="shared" si="4"/>
        <v>19.011406844106464</v>
      </c>
      <c r="L37" s="1">
        <f t="shared" si="4"/>
        <v>80.98859315589354</v>
      </c>
      <c r="M37" s="11">
        <f t="shared" si="4"/>
        <v>100</v>
      </c>
      <c r="N37" s="1">
        <f t="shared" si="5"/>
        <v>51.33047210300429</v>
      </c>
      <c r="O37" s="1">
        <f t="shared" si="5"/>
        <v>48.66952789699571</v>
      </c>
      <c r="P37" s="11">
        <f t="shared" si="5"/>
        <v>100</v>
      </c>
      <c r="Q37" s="1">
        <f t="shared" si="6"/>
        <v>33.312678150948074</v>
      </c>
      <c r="R37" s="1">
        <f t="shared" si="6"/>
        <v>66.68732184905193</v>
      </c>
      <c r="S37" s="11">
        <f t="shared" si="6"/>
        <v>100</v>
      </c>
    </row>
    <row r="38" spans="1:19" ht="12.75">
      <c r="A38" s="9">
        <v>1993</v>
      </c>
      <c r="B38" s="1">
        <f t="shared" si="0"/>
        <v>38.628158844765345</v>
      </c>
      <c r="C38" s="1">
        <f t="shared" si="0"/>
        <v>61.371841155234655</v>
      </c>
      <c r="D38" s="11">
        <f t="shared" si="1"/>
        <v>100</v>
      </c>
      <c r="E38" s="1">
        <f t="shared" si="2"/>
        <v>27.593818984547465</v>
      </c>
      <c r="F38" s="1">
        <f t="shared" si="2"/>
        <v>72.40618101545255</v>
      </c>
      <c r="G38" s="11">
        <f t="shared" si="2"/>
        <v>100</v>
      </c>
      <c r="H38" s="1">
        <f t="shared" si="3"/>
        <v>37.849944008958566</v>
      </c>
      <c r="I38" s="1">
        <f t="shared" si="3"/>
        <v>62.150055991041434</v>
      </c>
      <c r="J38" s="11">
        <f t="shared" si="3"/>
        <v>100</v>
      </c>
      <c r="K38" s="1">
        <f t="shared" si="4"/>
        <v>18.937530742744713</v>
      </c>
      <c r="L38" s="1">
        <f t="shared" si="4"/>
        <v>81.06246925725529</v>
      </c>
      <c r="M38" s="11">
        <f t="shared" si="4"/>
        <v>100</v>
      </c>
      <c r="N38" s="1">
        <f t="shared" si="5"/>
        <v>53.74653098982424</v>
      </c>
      <c r="O38" s="1">
        <f t="shared" si="5"/>
        <v>46.25346901017576</v>
      </c>
      <c r="P38" s="11">
        <f t="shared" si="5"/>
        <v>100</v>
      </c>
      <c r="Q38" s="1">
        <f t="shared" si="6"/>
        <v>32.69616361449004</v>
      </c>
      <c r="R38" s="1">
        <f t="shared" si="6"/>
        <v>67.30383638550997</v>
      </c>
      <c r="S38" s="11">
        <f t="shared" si="6"/>
        <v>100</v>
      </c>
    </row>
    <row r="39" spans="1:19" ht="12.75">
      <c r="A39" s="9">
        <v>1994</v>
      </c>
      <c r="B39" s="1">
        <f t="shared" si="0"/>
        <v>40.44471153846153</v>
      </c>
      <c r="C39" s="1">
        <f t="shared" si="0"/>
        <v>59.55528846153846</v>
      </c>
      <c r="D39" s="11">
        <f t="shared" si="1"/>
        <v>100</v>
      </c>
      <c r="E39" s="1">
        <f t="shared" si="2"/>
        <v>31.083380601247875</v>
      </c>
      <c r="F39" s="1">
        <f t="shared" si="2"/>
        <v>68.91661939875213</v>
      </c>
      <c r="G39" s="11">
        <f t="shared" si="2"/>
        <v>100</v>
      </c>
      <c r="H39" s="1">
        <f t="shared" si="3"/>
        <v>37.43693239152371</v>
      </c>
      <c r="I39" s="1">
        <f t="shared" si="3"/>
        <v>62.56306760847629</v>
      </c>
      <c r="J39" s="11">
        <f t="shared" si="3"/>
        <v>100</v>
      </c>
      <c r="K39" s="1">
        <f t="shared" si="4"/>
        <v>19.96311664361457</v>
      </c>
      <c r="L39" s="1">
        <f t="shared" si="4"/>
        <v>80.03688335638543</v>
      </c>
      <c r="M39" s="11">
        <f t="shared" si="4"/>
        <v>100</v>
      </c>
      <c r="N39" s="1">
        <f t="shared" si="5"/>
        <v>54.31985294117647</v>
      </c>
      <c r="O39" s="1">
        <f t="shared" si="5"/>
        <v>45.68014705882353</v>
      </c>
      <c r="P39" s="11">
        <f t="shared" si="5"/>
        <v>100</v>
      </c>
      <c r="Q39" s="1">
        <f t="shared" si="6"/>
        <v>34.08469055374593</v>
      </c>
      <c r="R39" s="1">
        <f t="shared" si="6"/>
        <v>65.91530944625407</v>
      </c>
      <c r="S39" s="11">
        <f t="shared" si="6"/>
        <v>100</v>
      </c>
    </row>
    <row r="40" spans="1:19" ht="12.75">
      <c r="A40" s="9">
        <v>1995</v>
      </c>
      <c r="B40" s="1">
        <f t="shared" si="0"/>
        <v>38.12056737588653</v>
      </c>
      <c r="C40" s="1">
        <f t="shared" si="0"/>
        <v>61.87943262411347</v>
      </c>
      <c r="D40" s="11">
        <f t="shared" si="1"/>
        <v>100</v>
      </c>
      <c r="E40" s="1">
        <f t="shared" si="2"/>
        <v>30.03554502369668</v>
      </c>
      <c r="F40" s="1">
        <f t="shared" si="2"/>
        <v>69.96445497630332</v>
      </c>
      <c r="G40" s="11">
        <f t="shared" si="2"/>
        <v>100</v>
      </c>
      <c r="H40" s="1">
        <f t="shared" si="3"/>
        <v>33.68055555555556</v>
      </c>
      <c r="I40" s="1">
        <f t="shared" si="3"/>
        <v>66.31944444444444</v>
      </c>
      <c r="J40" s="11">
        <f t="shared" si="3"/>
        <v>100</v>
      </c>
      <c r="K40" s="1">
        <f t="shared" si="4"/>
        <v>21.285475792988315</v>
      </c>
      <c r="L40" s="1">
        <f t="shared" si="4"/>
        <v>78.71452420701168</v>
      </c>
      <c r="M40" s="11">
        <f t="shared" si="4"/>
        <v>100</v>
      </c>
      <c r="N40" s="1">
        <f t="shared" si="5"/>
        <v>54.06626506024096</v>
      </c>
      <c r="O40" s="1">
        <f t="shared" si="5"/>
        <v>45.933734939759034</v>
      </c>
      <c r="P40" s="11">
        <f t="shared" si="5"/>
        <v>100</v>
      </c>
      <c r="Q40" s="1">
        <f t="shared" si="6"/>
        <v>33.52713178294574</v>
      </c>
      <c r="R40" s="1">
        <f t="shared" si="6"/>
        <v>66.47286821705426</v>
      </c>
      <c r="S40" s="11">
        <f t="shared" si="6"/>
        <v>100</v>
      </c>
    </row>
    <row r="41" spans="1:19" ht="12.75">
      <c r="A41" s="9">
        <v>1996</v>
      </c>
      <c r="B41" s="1">
        <f t="shared" si="0"/>
        <v>37.856645789839945</v>
      </c>
      <c r="C41" s="1">
        <f t="shared" si="0"/>
        <v>62.14335421016005</v>
      </c>
      <c r="D41" s="11">
        <f t="shared" si="1"/>
        <v>100</v>
      </c>
      <c r="E41" s="1">
        <f t="shared" si="2"/>
        <v>35.49618320610687</v>
      </c>
      <c r="F41" s="1">
        <f t="shared" si="2"/>
        <v>64.50381679389314</v>
      </c>
      <c r="G41" s="11">
        <f t="shared" si="2"/>
        <v>100</v>
      </c>
      <c r="H41" s="1">
        <f t="shared" si="3"/>
        <v>43.08724832214765</v>
      </c>
      <c r="I41" s="1">
        <f t="shared" si="3"/>
        <v>56.91275167785235</v>
      </c>
      <c r="J41" s="11">
        <f t="shared" si="3"/>
        <v>100</v>
      </c>
      <c r="K41" s="1">
        <f t="shared" si="4"/>
        <v>23.837902264600714</v>
      </c>
      <c r="L41" s="1">
        <f t="shared" si="4"/>
        <v>76.16209773539929</v>
      </c>
      <c r="M41" s="11">
        <f t="shared" si="4"/>
        <v>100</v>
      </c>
      <c r="N41" s="1">
        <f t="shared" si="5"/>
        <v>53.95778364116095</v>
      </c>
      <c r="O41" s="1">
        <f t="shared" si="5"/>
        <v>46.04221635883905</v>
      </c>
      <c r="P41" s="11">
        <f t="shared" si="5"/>
        <v>100</v>
      </c>
      <c r="Q41" s="1">
        <f t="shared" si="6"/>
        <v>36.082995951417004</v>
      </c>
      <c r="R41" s="1">
        <f t="shared" si="6"/>
        <v>63.917004048582996</v>
      </c>
      <c r="S41" s="11">
        <f t="shared" si="6"/>
        <v>100</v>
      </c>
    </row>
    <row r="42" spans="1:19" ht="12.75">
      <c r="A42" s="9">
        <v>1997</v>
      </c>
      <c r="B42" s="1"/>
      <c r="C42" s="1"/>
      <c r="D42" s="11"/>
      <c r="E42" s="1"/>
      <c r="F42" s="1"/>
      <c r="G42" s="11"/>
      <c r="H42" s="1"/>
      <c r="I42" s="1"/>
      <c r="J42" s="11"/>
      <c r="K42" s="1"/>
      <c r="L42" s="1"/>
      <c r="M42" s="11"/>
      <c r="N42" s="1"/>
      <c r="O42" s="1"/>
      <c r="P42" s="11"/>
      <c r="Q42" s="1"/>
      <c r="R42" s="1"/>
      <c r="S42" s="11"/>
    </row>
    <row r="43" spans="1:19" ht="12.75">
      <c r="A43" s="9">
        <v>1998</v>
      </c>
      <c r="B43" s="1">
        <f t="shared" si="0"/>
        <v>41.125541125541126</v>
      </c>
      <c r="C43" s="1">
        <f t="shared" si="0"/>
        <v>58.87445887445888</v>
      </c>
      <c r="D43" s="11">
        <f t="shared" si="1"/>
        <v>100</v>
      </c>
      <c r="E43" s="1">
        <f t="shared" si="2"/>
        <v>38.64168618266979</v>
      </c>
      <c r="F43" s="1">
        <f t="shared" si="2"/>
        <v>61.35831381733021</v>
      </c>
      <c r="G43" s="11">
        <f t="shared" si="2"/>
        <v>100</v>
      </c>
      <c r="H43" s="1">
        <f t="shared" si="3"/>
        <v>37.74230330672748</v>
      </c>
      <c r="I43" s="1">
        <f t="shared" si="3"/>
        <v>62.25769669327252</v>
      </c>
      <c r="J43" s="11">
        <f t="shared" si="3"/>
        <v>100</v>
      </c>
      <c r="K43" s="1">
        <f t="shared" si="4"/>
        <v>27.57557063541024</v>
      </c>
      <c r="L43" s="1">
        <f t="shared" si="4"/>
        <v>72.42442936458976</v>
      </c>
      <c r="M43" s="11">
        <f t="shared" si="4"/>
        <v>100</v>
      </c>
      <c r="N43" s="1">
        <f t="shared" si="5"/>
        <v>53.403141361256544</v>
      </c>
      <c r="O43" s="1">
        <f t="shared" si="5"/>
        <v>46.596858638743456</v>
      </c>
      <c r="P43" s="11">
        <f t="shared" si="5"/>
        <v>100</v>
      </c>
      <c r="Q43" s="1">
        <f t="shared" si="6"/>
        <v>37.965930173722384</v>
      </c>
      <c r="R43" s="1">
        <f t="shared" si="6"/>
        <v>62.034069826277616</v>
      </c>
      <c r="S43" s="11">
        <f t="shared" si="6"/>
        <v>100</v>
      </c>
    </row>
    <row r="44" spans="1:19" ht="12.75">
      <c r="A44" s="9">
        <v>1999</v>
      </c>
      <c r="B44" s="1">
        <f t="shared" si="0"/>
        <v>41.08658743633276</v>
      </c>
      <c r="C44" s="1">
        <f t="shared" si="0"/>
        <v>58.91341256366724</v>
      </c>
      <c r="D44" s="11">
        <f t="shared" si="1"/>
        <v>100</v>
      </c>
      <c r="E44" s="1">
        <f t="shared" si="2"/>
        <v>36.04284814114681</v>
      </c>
      <c r="F44" s="1">
        <f t="shared" si="2"/>
        <v>63.95715185885318</v>
      </c>
      <c r="G44" s="11">
        <f t="shared" si="2"/>
        <v>100</v>
      </c>
      <c r="H44" s="1">
        <f t="shared" si="3"/>
        <v>39.63607594936709</v>
      </c>
      <c r="I44" s="1">
        <f t="shared" si="3"/>
        <v>60.36392405063291</v>
      </c>
      <c r="J44" s="11">
        <f t="shared" si="3"/>
        <v>100</v>
      </c>
      <c r="K44" s="1">
        <f t="shared" si="4"/>
        <v>24.879614767255216</v>
      </c>
      <c r="L44" s="1">
        <f t="shared" si="4"/>
        <v>75.12038523274478</v>
      </c>
      <c r="M44" s="11">
        <f t="shared" si="4"/>
        <v>100</v>
      </c>
      <c r="N44" s="1">
        <f t="shared" si="5"/>
        <v>52.53784505788067</v>
      </c>
      <c r="O44" s="1">
        <f t="shared" si="5"/>
        <v>47.46215494211932</v>
      </c>
      <c r="P44" s="11">
        <f t="shared" si="5"/>
        <v>100</v>
      </c>
      <c r="Q44" s="1">
        <f t="shared" si="6"/>
        <v>36.54803838212074</v>
      </c>
      <c r="R44" s="1">
        <f t="shared" si="6"/>
        <v>63.45196161787927</v>
      </c>
      <c r="S44" s="11">
        <f t="shared" si="6"/>
        <v>100</v>
      </c>
    </row>
    <row r="47" spans="1:9" ht="12.75">
      <c r="A47" s="4" t="str">
        <f>CONCATENATE("New Admissions (All Races): ",$A$1)</f>
        <v>New Admissions (All Races): GEORGIA</v>
      </c>
      <c r="I47" s="4" t="str">
        <f>CONCATENATE("Percent of Total, New Admissions (All Races): ",$A$1)</f>
        <v>Percent of Total, New Admissions (All Races): GEORGIA</v>
      </c>
    </row>
    <row r="48" spans="1:15" s="4" customFormat="1" ht="12.75">
      <c r="A48" s="18" t="s">
        <v>20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I48" s="18" t="s">
        <v>20</v>
      </c>
      <c r="J48" s="14" t="s">
        <v>14</v>
      </c>
      <c r="K48" s="14" t="s">
        <v>15</v>
      </c>
      <c r="L48" s="14" t="s">
        <v>16</v>
      </c>
      <c r="M48" s="14" t="s">
        <v>17</v>
      </c>
      <c r="N48" s="14" t="s">
        <v>18</v>
      </c>
      <c r="O48" s="14" t="s">
        <v>19</v>
      </c>
    </row>
    <row r="49" spans="1:15" ht="12.75">
      <c r="A49" s="9">
        <v>1983</v>
      </c>
      <c r="B49">
        <v>1189</v>
      </c>
      <c r="C49">
        <v>2521</v>
      </c>
      <c r="D49">
        <v>952</v>
      </c>
      <c r="E49">
        <v>730</v>
      </c>
      <c r="F49">
        <v>665</v>
      </c>
      <c r="G49">
        <v>6057</v>
      </c>
      <c r="I49" s="9">
        <v>1983</v>
      </c>
      <c r="J49" s="1">
        <f aca="true" t="shared" si="7" ref="J49:J65">(B49/$G49)*100</f>
        <v>19.63017995707446</v>
      </c>
      <c r="K49" s="1">
        <f aca="true" t="shared" si="8" ref="K49:K65">(C49/$G49)*100</f>
        <v>41.62126465246822</v>
      </c>
      <c r="L49" s="1">
        <f aca="true" t="shared" si="9" ref="L49:L65">(D49/$G49)*100</f>
        <v>15.717351824335479</v>
      </c>
      <c r="M49" s="1">
        <f aca="true" t="shared" si="10" ref="M49:M65">(E49/$G49)*100</f>
        <v>12.052171041769853</v>
      </c>
      <c r="N49" s="1">
        <f aca="true" t="shared" si="11" ref="N49:N65">(F49/$G49)*100</f>
        <v>10.97903252435199</v>
      </c>
      <c r="O49">
        <f aca="true" t="shared" si="12" ref="O49:O65">(G49/$G49)*100</f>
        <v>100</v>
      </c>
    </row>
    <row r="50" spans="1:15" ht="12.75">
      <c r="A50" s="9">
        <v>1984</v>
      </c>
      <c r="B50">
        <v>1232</v>
      </c>
      <c r="C50">
        <v>2060</v>
      </c>
      <c r="D50">
        <v>1168</v>
      </c>
      <c r="E50">
        <v>1047</v>
      </c>
      <c r="F50">
        <v>1335</v>
      </c>
      <c r="G50">
        <v>6842</v>
      </c>
      <c r="I50" s="9">
        <v>1984</v>
      </c>
      <c r="J50" s="1">
        <f t="shared" si="7"/>
        <v>18.006430868167204</v>
      </c>
      <c r="K50" s="1">
        <f t="shared" si="8"/>
        <v>30.10815551008477</v>
      </c>
      <c r="L50" s="1">
        <f t="shared" si="9"/>
        <v>17.071031862028647</v>
      </c>
      <c r="M50" s="1">
        <f t="shared" si="10"/>
        <v>15.30254311604794</v>
      </c>
      <c r="N50" s="1">
        <f t="shared" si="11"/>
        <v>19.511838643671442</v>
      </c>
      <c r="O50">
        <f t="shared" si="12"/>
        <v>100</v>
      </c>
    </row>
    <row r="51" spans="1:9" ht="12.75">
      <c r="A51" s="9">
        <v>1985</v>
      </c>
      <c r="I51" s="9">
        <v>1985</v>
      </c>
    </row>
    <row r="52" spans="1:9" ht="12.75">
      <c r="A52" s="9">
        <v>1986</v>
      </c>
      <c r="I52" s="9">
        <v>1986</v>
      </c>
    </row>
    <row r="53" spans="1:15" ht="12.75">
      <c r="A53" s="9">
        <v>1987</v>
      </c>
      <c r="B53">
        <v>378</v>
      </c>
      <c r="F53">
        <v>8289</v>
      </c>
      <c r="G53">
        <v>8667</v>
      </c>
      <c r="I53" s="9">
        <v>1987</v>
      </c>
      <c r="J53" s="1">
        <f t="shared" si="7"/>
        <v>4.361370716510903</v>
      </c>
      <c r="K53" s="1"/>
      <c r="L53" s="1"/>
      <c r="M53" s="1"/>
      <c r="N53" s="1">
        <f t="shared" si="11"/>
        <v>95.6386292834891</v>
      </c>
      <c r="O53">
        <f t="shared" si="12"/>
        <v>100</v>
      </c>
    </row>
    <row r="54" spans="1:15" ht="12.75">
      <c r="A54" s="9">
        <v>1988</v>
      </c>
      <c r="B54">
        <v>2110</v>
      </c>
      <c r="C54">
        <v>3479</v>
      </c>
      <c r="D54">
        <v>1604</v>
      </c>
      <c r="E54">
        <v>3039</v>
      </c>
      <c r="F54">
        <v>5731</v>
      </c>
      <c r="G54">
        <v>15963</v>
      </c>
      <c r="I54" s="9">
        <v>1988</v>
      </c>
      <c r="J54" s="1">
        <f t="shared" si="7"/>
        <v>13.218066779427426</v>
      </c>
      <c r="K54" s="1">
        <f t="shared" si="8"/>
        <v>21.79414896949195</v>
      </c>
      <c r="L54" s="1">
        <f t="shared" si="9"/>
        <v>10.048236547014971</v>
      </c>
      <c r="M54" s="1">
        <f t="shared" si="10"/>
        <v>19.037774854350687</v>
      </c>
      <c r="N54" s="1">
        <f t="shared" si="11"/>
        <v>35.901772849714966</v>
      </c>
      <c r="O54">
        <f t="shared" si="12"/>
        <v>100</v>
      </c>
    </row>
    <row r="55" spans="1:15" ht="12.75">
      <c r="A55" s="9">
        <v>1989</v>
      </c>
      <c r="B55">
        <v>1751</v>
      </c>
      <c r="C55">
        <v>2447</v>
      </c>
      <c r="D55">
        <v>927</v>
      </c>
      <c r="E55">
        <v>2801</v>
      </c>
      <c r="F55">
        <v>1184</v>
      </c>
      <c r="G55">
        <v>9110</v>
      </c>
      <c r="I55" s="9">
        <v>1989</v>
      </c>
      <c r="J55" s="1">
        <f t="shared" si="7"/>
        <v>19.220636663007685</v>
      </c>
      <c r="K55" s="1">
        <f t="shared" si="8"/>
        <v>26.860592755214054</v>
      </c>
      <c r="L55" s="1">
        <f t="shared" si="9"/>
        <v>10.17563117453348</v>
      </c>
      <c r="M55" s="1">
        <f t="shared" si="10"/>
        <v>30.74643249176729</v>
      </c>
      <c r="N55" s="1">
        <f t="shared" si="11"/>
        <v>12.996706915477496</v>
      </c>
      <c r="O55">
        <f t="shared" si="12"/>
        <v>100</v>
      </c>
    </row>
    <row r="56" spans="1:15" ht="12.75">
      <c r="A56" s="9">
        <v>1990</v>
      </c>
      <c r="B56">
        <v>1742</v>
      </c>
      <c r="C56">
        <v>2332</v>
      </c>
      <c r="D56">
        <v>1037</v>
      </c>
      <c r="E56">
        <v>3098</v>
      </c>
      <c r="F56">
        <v>1235</v>
      </c>
      <c r="G56">
        <v>9444</v>
      </c>
      <c r="I56" s="9">
        <v>1990</v>
      </c>
      <c r="J56" s="1">
        <f t="shared" si="7"/>
        <v>18.44557390936044</v>
      </c>
      <c r="K56" s="1">
        <f t="shared" si="8"/>
        <v>24.692926725963574</v>
      </c>
      <c r="L56" s="1">
        <f t="shared" si="9"/>
        <v>10.980516730199067</v>
      </c>
      <c r="M56" s="1">
        <f t="shared" si="10"/>
        <v>32.80389665396019</v>
      </c>
      <c r="N56" s="1">
        <f t="shared" si="11"/>
        <v>13.077085980516731</v>
      </c>
      <c r="O56">
        <f t="shared" si="12"/>
        <v>100</v>
      </c>
    </row>
    <row r="57" spans="1:15" ht="12.75">
      <c r="A57" s="9">
        <v>1991</v>
      </c>
      <c r="B57">
        <v>1631</v>
      </c>
      <c r="C57">
        <v>1912</v>
      </c>
      <c r="D57">
        <v>949</v>
      </c>
      <c r="E57">
        <v>2547</v>
      </c>
      <c r="F57">
        <v>1135</v>
      </c>
      <c r="G57">
        <v>8174</v>
      </c>
      <c r="I57" s="9">
        <v>1991</v>
      </c>
      <c r="J57" s="1">
        <f t="shared" si="7"/>
        <v>19.95351113286029</v>
      </c>
      <c r="K57" s="1">
        <f t="shared" si="8"/>
        <v>23.391240518717886</v>
      </c>
      <c r="L57" s="1">
        <f t="shared" si="9"/>
        <v>11.609982872522632</v>
      </c>
      <c r="M57" s="1">
        <f t="shared" si="10"/>
        <v>31.159774896011744</v>
      </c>
      <c r="N57" s="1">
        <f t="shared" si="11"/>
        <v>13.885490579887447</v>
      </c>
      <c r="O57">
        <f t="shared" si="12"/>
        <v>100</v>
      </c>
    </row>
    <row r="58" spans="1:15" ht="12.75">
      <c r="A58" s="9">
        <v>1992</v>
      </c>
      <c r="B58">
        <v>1718</v>
      </c>
      <c r="C58">
        <v>1857</v>
      </c>
      <c r="D58">
        <v>979</v>
      </c>
      <c r="E58">
        <v>2372</v>
      </c>
      <c r="F58">
        <v>1167</v>
      </c>
      <c r="G58">
        <v>8093</v>
      </c>
      <c r="I58" s="9">
        <v>1992</v>
      </c>
      <c r="J58" s="1">
        <f t="shared" si="7"/>
        <v>21.22822192017793</v>
      </c>
      <c r="K58" s="1">
        <f t="shared" si="8"/>
        <v>22.9457555912517</v>
      </c>
      <c r="L58" s="1">
        <f t="shared" si="9"/>
        <v>12.0968738415915</v>
      </c>
      <c r="M58" s="1">
        <f t="shared" si="10"/>
        <v>29.309279624366734</v>
      </c>
      <c r="N58" s="1">
        <f t="shared" si="11"/>
        <v>14.419869022612133</v>
      </c>
      <c r="O58">
        <f t="shared" si="12"/>
        <v>100</v>
      </c>
    </row>
    <row r="59" spans="1:15" ht="12.75">
      <c r="A59" s="9">
        <v>1993</v>
      </c>
      <c r="B59">
        <v>1696</v>
      </c>
      <c r="C59">
        <v>1825</v>
      </c>
      <c r="D59">
        <v>895</v>
      </c>
      <c r="E59">
        <v>2071</v>
      </c>
      <c r="F59">
        <v>1091</v>
      </c>
      <c r="G59">
        <v>7578</v>
      </c>
      <c r="I59" s="9">
        <v>1993</v>
      </c>
      <c r="J59" s="1">
        <f t="shared" si="7"/>
        <v>22.380575349696493</v>
      </c>
      <c r="K59" s="1">
        <f t="shared" si="8"/>
        <v>24.082871470044868</v>
      </c>
      <c r="L59" s="1">
        <f t="shared" si="9"/>
        <v>11.810504090789127</v>
      </c>
      <c r="M59" s="1">
        <f t="shared" si="10"/>
        <v>27.32911058326735</v>
      </c>
      <c r="N59" s="1">
        <f t="shared" si="11"/>
        <v>14.396938506202165</v>
      </c>
      <c r="O59">
        <f t="shared" si="12"/>
        <v>100</v>
      </c>
    </row>
    <row r="60" spans="1:15" ht="12.75">
      <c r="A60" s="9">
        <v>1994</v>
      </c>
      <c r="B60">
        <v>1694</v>
      </c>
      <c r="C60">
        <v>1784</v>
      </c>
      <c r="D60">
        <v>999</v>
      </c>
      <c r="E60">
        <v>2218</v>
      </c>
      <c r="F60">
        <v>1100</v>
      </c>
      <c r="G60">
        <v>7795</v>
      </c>
      <c r="I60" s="9">
        <v>1994</v>
      </c>
      <c r="J60" s="1">
        <f t="shared" si="7"/>
        <v>21.731879409878125</v>
      </c>
      <c r="K60" s="1">
        <f t="shared" si="8"/>
        <v>22.88646568313021</v>
      </c>
      <c r="L60" s="1">
        <f t="shared" si="9"/>
        <v>12.815907633098139</v>
      </c>
      <c r="M60" s="1">
        <f t="shared" si="10"/>
        <v>28.45413726747915</v>
      </c>
      <c r="N60" s="1">
        <f t="shared" si="11"/>
        <v>14.111610006414368</v>
      </c>
      <c r="O60">
        <f t="shared" si="12"/>
        <v>100</v>
      </c>
    </row>
    <row r="61" spans="1:15" ht="12.75">
      <c r="A61" s="9">
        <v>1995</v>
      </c>
      <c r="B61">
        <v>1720</v>
      </c>
      <c r="C61">
        <v>1701</v>
      </c>
      <c r="D61">
        <v>1161</v>
      </c>
      <c r="E61">
        <v>2421</v>
      </c>
      <c r="F61">
        <v>1343</v>
      </c>
      <c r="G61">
        <v>8346</v>
      </c>
      <c r="I61" s="9">
        <v>1995</v>
      </c>
      <c r="J61" s="1">
        <f t="shared" si="7"/>
        <v>20.608674814282292</v>
      </c>
      <c r="K61" s="1">
        <f t="shared" si="8"/>
        <v>20.38102084831057</v>
      </c>
      <c r="L61" s="1">
        <f t="shared" si="9"/>
        <v>13.910855499640546</v>
      </c>
      <c r="M61" s="1">
        <f t="shared" si="10"/>
        <v>29.007907979870595</v>
      </c>
      <c r="N61" s="1">
        <f t="shared" si="11"/>
        <v>16.091540857895996</v>
      </c>
      <c r="O61">
        <f t="shared" si="12"/>
        <v>100</v>
      </c>
    </row>
    <row r="62" spans="1:15" ht="12.75">
      <c r="A62" s="9">
        <v>1996</v>
      </c>
      <c r="B62">
        <v>1459</v>
      </c>
      <c r="C62">
        <v>1322</v>
      </c>
      <c r="D62">
        <v>753</v>
      </c>
      <c r="E62">
        <v>1723</v>
      </c>
      <c r="F62">
        <v>777</v>
      </c>
      <c r="G62">
        <v>6034</v>
      </c>
      <c r="I62" s="9">
        <v>1996</v>
      </c>
      <c r="J62" s="1">
        <f t="shared" si="7"/>
        <v>24.179648657606894</v>
      </c>
      <c r="K62" s="1">
        <f t="shared" si="8"/>
        <v>21.909181305933046</v>
      </c>
      <c r="L62" s="1">
        <f t="shared" si="9"/>
        <v>12.479284057010274</v>
      </c>
      <c r="M62" s="1">
        <f t="shared" si="10"/>
        <v>28.55485581703679</v>
      </c>
      <c r="N62" s="1">
        <f t="shared" si="11"/>
        <v>12.877030162412991</v>
      </c>
      <c r="O62">
        <f t="shared" si="12"/>
        <v>100</v>
      </c>
    </row>
    <row r="63" spans="1:14" ht="12.75">
      <c r="A63" s="9">
        <v>1997</v>
      </c>
      <c r="I63" s="9">
        <v>1997</v>
      </c>
      <c r="J63" s="1"/>
      <c r="K63" s="1"/>
      <c r="L63" s="1"/>
      <c r="M63" s="1"/>
      <c r="N63" s="1"/>
    </row>
    <row r="64" spans="1:15" ht="12.75">
      <c r="A64" s="9">
        <v>1998</v>
      </c>
      <c r="B64">
        <v>1434</v>
      </c>
      <c r="C64">
        <v>1301</v>
      </c>
      <c r="D64">
        <v>886</v>
      </c>
      <c r="E64">
        <v>1670</v>
      </c>
      <c r="F64">
        <v>775</v>
      </c>
      <c r="G64">
        <v>6066</v>
      </c>
      <c r="I64" s="9">
        <v>1998</v>
      </c>
      <c r="J64" s="1">
        <f t="shared" si="7"/>
        <v>23.63996043521266</v>
      </c>
      <c r="K64" s="1">
        <f t="shared" si="8"/>
        <v>21.44741180349489</v>
      </c>
      <c r="L64" s="1">
        <f t="shared" si="9"/>
        <v>14.606000659413123</v>
      </c>
      <c r="M64" s="1">
        <f t="shared" si="10"/>
        <v>27.530497856907353</v>
      </c>
      <c r="N64" s="1">
        <f t="shared" si="11"/>
        <v>12.776129244971976</v>
      </c>
      <c r="O64">
        <f t="shared" si="12"/>
        <v>100</v>
      </c>
    </row>
    <row r="65" spans="1:15" ht="12.75">
      <c r="A65" s="9">
        <v>1999</v>
      </c>
      <c r="B65">
        <v>1828</v>
      </c>
      <c r="C65">
        <v>1600</v>
      </c>
      <c r="D65">
        <v>1277</v>
      </c>
      <c r="E65">
        <v>2611</v>
      </c>
      <c r="F65">
        <v>1148</v>
      </c>
      <c r="G65">
        <v>8464</v>
      </c>
      <c r="I65" s="9">
        <v>1999</v>
      </c>
      <c r="J65" s="1">
        <f t="shared" si="7"/>
        <v>21.597353497164463</v>
      </c>
      <c r="K65" s="1">
        <f t="shared" si="8"/>
        <v>18.90359168241966</v>
      </c>
      <c r="L65" s="1">
        <f t="shared" si="9"/>
        <v>15.087429111531192</v>
      </c>
      <c r="M65" s="1">
        <f t="shared" si="10"/>
        <v>30.84829867674858</v>
      </c>
      <c r="N65" s="1">
        <f t="shared" si="11"/>
        <v>13.563327032136105</v>
      </c>
      <c r="O65">
        <f t="shared" si="12"/>
        <v>100</v>
      </c>
    </row>
    <row r="66" spans="1:14" ht="12.75">
      <c r="A66" t="s">
        <v>34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GEORGIA</v>
      </c>
      <c r="I68" s="4" t="str">
        <f>CONCATENATE("Black New Admissions: ",$A$1)</f>
        <v>Black New Admissions: GEORGIA</v>
      </c>
    </row>
    <row r="69" spans="1:15" s="4" customFormat="1" ht="12.75">
      <c r="A69" s="18" t="s">
        <v>20</v>
      </c>
      <c r="B69" s="14" t="s">
        <v>14</v>
      </c>
      <c r="C69" s="14" t="s">
        <v>15</v>
      </c>
      <c r="D69" s="14" t="s">
        <v>16</v>
      </c>
      <c r="E69" s="14" t="s">
        <v>17</v>
      </c>
      <c r="F69" s="14" t="s">
        <v>18</v>
      </c>
      <c r="G69" s="14" t="s">
        <v>19</v>
      </c>
      <c r="I69" s="18" t="s">
        <v>20</v>
      </c>
      <c r="J69" s="14" t="s">
        <v>14</v>
      </c>
      <c r="K69" s="14" t="s">
        <v>15</v>
      </c>
      <c r="L69" s="14" t="s">
        <v>16</v>
      </c>
      <c r="M69" s="14" t="s">
        <v>17</v>
      </c>
      <c r="N69" s="14" t="s">
        <v>18</v>
      </c>
      <c r="O69" s="14" t="s">
        <v>19</v>
      </c>
    </row>
    <row r="70" spans="1:15" ht="12.75">
      <c r="A70" s="9">
        <v>1983</v>
      </c>
      <c r="B70">
        <v>494</v>
      </c>
      <c r="C70">
        <v>982</v>
      </c>
      <c r="D70">
        <v>419</v>
      </c>
      <c r="E70">
        <v>391</v>
      </c>
      <c r="F70">
        <v>389</v>
      </c>
      <c r="G70">
        <v>2675</v>
      </c>
      <c r="I70" s="9">
        <v>1983</v>
      </c>
      <c r="J70">
        <v>695</v>
      </c>
      <c r="K70">
        <v>1539</v>
      </c>
      <c r="L70">
        <v>533</v>
      </c>
      <c r="M70">
        <v>339</v>
      </c>
      <c r="N70">
        <v>276</v>
      </c>
      <c r="O70">
        <v>3382</v>
      </c>
    </row>
    <row r="71" spans="1:15" ht="12.75">
      <c r="A71" s="9">
        <v>1984</v>
      </c>
      <c r="B71">
        <v>499</v>
      </c>
      <c r="C71">
        <v>792</v>
      </c>
      <c r="D71">
        <v>475</v>
      </c>
      <c r="E71">
        <v>501</v>
      </c>
      <c r="F71">
        <v>755</v>
      </c>
      <c r="G71">
        <v>3022</v>
      </c>
      <c r="I71" s="9">
        <v>1984</v>
      </c>
      <c r="J71">
        <v>733</v>
      </c>
      <c r="K71">
        <v>1267</v>
      </c>
      <c r="L71">
        <v>693</v>
      </c>
      <c r="M71">
        <v>546</v>
      </c>
      <c r="N71">
        <v>579</v>
      </c>
      <c r="O71">
        <v>3818</v>
      </c>
    </row>
    <row r="72" spans="1:9" ht="12.75">
      <c r="A72" s="9">
        <v>1985</v>
      </c>
      <c r="I72" s="9">
        <v>1985</v>
      </c>
    </row>
    <row r="73" spans="1:9" ht="12.75">
      <c r="A73" s="9">
        <v>1986</v>
      </c>
      <c r="I73" s="9">
        <v>1986</v>
      </c>
    </row>
    <row r="74" spans="1:15" ht="12.75">
      <c r="A74" s="9">
        <v>1987</v>
      </c>
      <c r="B74">
        <v>128</v>
      </c>
      <c r="F74">
        <v>3450</v>
      </c>
      <c r="G74">
        <v>3578</v>
      </c>
      <c r="I74" s="9">
        <v>1987</v>
      </c>
      <c r="J74">
        <v>250</v>
      </c>
      <c r="N74">
        <v>4839</v>
      </c>
      <c r="O74">
        <v>5089</v>
      </c>
    </row>
    <row r="75" spans="1:15" ht="12.75">
      <c r="A75" s="9">
        <v>1988</v>
      </c>
      <c r="B75">
        <v>789</v>
      </c>
      <c r="C75">
        <v>1213</v>
      </c>
      <c r="D75">
        <v>588</v>
      </c>
      <c r="E75">
        <v>831</v>
      </c>
      <c r="F75">
        <v>2509</v>
      </c>
      <c r="G75">
        <v>5930</v>
      </c>
      <c r="I75" s="9">
        <v>1988</v>
      </c>
      <c r="J75">
        <v>1291</v>
      </c>
      <c r="K75">
        <v>2247</v>
      </c>
      <c r="L75">
        <v>1008</v>
      </c>
      <c r="M75">
        <v>2136</v>
      </c>
      <c r="N75">
        <v>3185</v>
      </c>
      <c r="O75">
        <v>9867</v>
      </c>
    </row>
    <row r="76" spans="1:15" ht="12.75">
      <c r="A76" s="9">
        <v>1989</v>
      </c>
      <c r="B76">
        <v>717</v>
      </c>
      <c r="C76">
        <v>747</v>
      </c>
      <c r="D76">
        <v>364</v>
      </c>
      <c r="E76">
        <v>637</v>
      </c>
      <c r="F76">
        <v>613</v>
      </c>
      <c r="G76">
        <v>3078</v>
      </c>
      <c r="I76" s="9">
        <v>1989</v>
      </c>
      <c r="J76">
        <v>1012</v>
      </c>
      <c r="K76">
        <v>1689</v>
      </c>
      <c r="L76">
        <v>557</v>
      </c>
      <c r="M76">
        <v>2105</v>
      </c>
      <c r="N76">
        <v>564</v>
      </c>
      <c r="O76">
        <v>5927</v>
      </c>
    </row>
    <row r="77" spans="1:15" ht="12.75">
      <c r="A77" s="9">
        <v>1990</v>
      </c>
      <c r="B77">
        <v>708</v>
      </c>
      <c r="C77">
        <v>749</v>
      </c>
      <c r="D77">
        <v>400</v>
      </c>
      <c r="E77">
        <v>622</v>
      </c>
      <c r="F77">
        <v>615</v>
      </c>
      <c r="G77">
        <v>3094</v>
      </c>
      <c r="I77" s="9">
        <v>1990</v>
      </c>
      <c r="J77">
        <v>1022</v>
      </c>
      <c r="K77">
        <v>1569</v>
      </c>
      <c r="L77">
        <v>631</v>
      </c>
      <c r="M77">
        <v>2444</v>
      </c>
      <c r="N77">
        <v>612</v>
      </c>
      <c r="O77">
        <v>6278</v>
      </c>
    </row>
    <row r="78" spans="1:15" ht="12.75">
      <c r="A78" s="9">
        <v>1991</v>
      </c>
      <c r="B78">
        <v>613</v>
      </c>
      <c r="C78">
        <v>578</v>
      </c>
      <c r="D78">
        <v>370</v>
      </c>
      <c r="E78">
        <v>514</v>
      </c>
      <c r="F78">
        <v>618</v>
      </c>
      <c r="G78">
        <v>2693</v>
      </c>
      <c r="I78" s="9">
        <v>1991</v>
      </c>
      <c r="J78">
        <v>1002</v>
      </c>
      <c r="K78">
        <v>1322</v>
      </c>
      <c r="L78">
        <v>577</v>
      </c>
      <c r="M78">
        <v>2018</v>
      </c>
      <c r="N78">
        <v>508</v>
      </c>
      <c r="O78">
        <v>5427</v>
      </c>
    </row>
    <row r="79" spans="1:15" ht="12.75">
      <c r="A79" s="9">
        <v>1992</v>
      </c>
      <c r="B79">
        <v>676</v>
      </c>
      <c r="C79">
        <v>603</v>
      </c>
      <c r="D79">
        <v>361</v>
      </c>
      <c r="E79">
        <v>450</v>
      </c>
      <c r="F79">
        <v>598</v>
      </c>
      <c r="G79">
        <v>2688</v>
      </c>
      <c r="I79" s="9">
        <v>1992</v>
      </c>
      <c r="J79">
        <v>1036</v>
      </c>
      <c r="K79">
        <v>1246</v>
      </c>
      <c r="L79">
        <v>615</v>
      </c>
      <c r="M79">
        <v>1917</v>
      </c>
      <c r="N79">
        <v>567</v>
      </c>
      <c r="O79">
        <v>5381</v>
      </c>
    </row>
    <row r="80" spans="1:15" ht="12.75">
      <c r="A80" s="9">
        <v>1993</v>
      </c>
      <c r="B80">
        <v>642</v>
      </c>
      <c r="C80">
        <v>500</v>
      </c>
      <c r="D80">
        <v>338</v>
      </c>
      <c r="E80">
        <v>385</v>
      </c>
      <c r="F80">
        <v>581</v>
      </c>
      <c r="G80">
        <v>2446</v>
      </c>
      <c r="I80" s="9">
        <v>1993</v>
      </c>
      <c r="J80">
        <v>1020</v>
      </c>
      <c r="K80">
        <v>1312</v>
      </c>
      <c r="L80">
        <v>555</v>
      </c>
      <c r="M80">
        <v>1648</v>
      </c>
      <c r="N80">
        <v>500</v>
      </c>
      <c r="O80">
        <v>5035</v>
      </c>
    </row>
    <row r="81" spans="1:15" ht="12.75">
      <c r="A81" s="9">
        <v>1994</v>
      </c>
      <c r="B81">
        <v>673</v>
      </c>
      <c r="C81">
        <v>548</v>
      </c>
      <c r="D81">
        <v>371</v>
      </c>
      <c r="E81">
        <v>433</v>
      </c>
      <c r="F81">
        <v>591</v>
      </c>
      <c r="G81">
        <v>2616</v>
      </c>
      <c r="I81" s="9">
        <v>1994</v>
      </c>
      <c r="J81">
        <v>991</v>
      </c>
      <c r="K81">
        <v>1215</v>
      </c>
      <c r="L81">
        <v>620</v>
      </c>
      <c r="M81">
        <v>1736</v>
      </c>
      <c r="N81">
        <v>497</v>
      </c>
      <c r="O81">
        <v>5059</v>
      </c>
    </row>
    <row r="82" spans="1:15" ht="12.75">
      <c r="A82" s="9">
        <v>1995</v>
      </c>
      <c r="B82">
        <v>645</v>
      </c>
      <c r="C82">
        <v>507</v>
      </c>
      <c r="D82">
        <v>388</v>
      </c>
      <c r="E82">
        <v>510</v>
      </c>
      <c r="F82">
        <v>718</v>
      </c>
      <c r="G82">
        <v>2768</v>
      </c>
      <c r="I82" s="9">
        <v>1995</v>
      </c>
      <c r="J82">
        <v>1047</v>
      </c>
      <c r="K82">
        <v>1181</v>
      </c>
      <c r="L82">
        <v>764</v>
      </c>
      <c r="M82">
        <v>1886</v>
      </c>
      <c r="N82">
        <v>610</v>
      </c>
      <c r="O82">
        <v>5488</v>
      </c>
    </row>
    <row r="83" spans="1:15" ht="12.75">
      <c r="A83" s="9">
        <v>1996</v>
      </c>
      <c r="B83">
        <v>544</v>
      </c>
      <c r="C83">
        <v>465</v>
      </c>
      <c r="D83">
        <v>321</v>
      </c>
      <c r="E83">
        <v>400</v>
      </c>
      <c r="F83">
        <v>409</v>
      </c>
      <c r="G83">
        <v>2139</v>
      </c>
      <c r="I83" s="9">
        <v>1996</v>
      </c>
      <c r="J83">
        <v>893</v>
      </c>
      <c r="K83">
        <v>845</v>
      </c>
      <c r="L83">
        <v>424</v>
      </c>
      <c r="M83">
        <v>1278</v>
      </c>
      <c r="N83">
        <v>349</v>
      </c>
      <c r="O83">
        <v>3789</v>
      </c>
    </row>
    <row r="84" spans="1:9" ht="12.75">
      <c r="A84" s="9">
        <v>1997</v>
      </c>
      <c r="I84" s="9">
        <v>1997</v>
      </c>
    </row>
    <row r="85" spans="1:15" ht="12.75">
      <c r="A85" s="9">
        <v>1998</v>
      </c>
      <c r="B85">
        <v>570</v>
      </c>
      <c r="C85">
        <v>495</v>
      </c>
      <c r="D85">
        <v>331</v>
      </c>
      <c r="E85">
        <v>447</v>
      </c>
      <c r="F85">
        <v>408</v>
      </c>
      <c r="G85">
        <v>2251</v>
      </c>
      <c r="I85" s="9">
        <v>1998</v>
      </c>
      <c r="J85">
        <v>816</v>
      </c>
      <c r="K85">
        <v>786</v>
      </c>
      <c r="L85">
        <v>546</v>
      </c>
      <c r="M85">
        <v>1174</v>
      </c>
      <c r="N85">
        <v>356</v>
      </c>
      <c r="O85">
        <v>3678</v>
      </c>
    </row>
    <row r="86" spans="1:15" ht="12.75">
      <c r="A86" s="9">
        <v>1999</v>
      </c>
      <c r="B86">
        <v>726</v>
      </c>
      <c r="C86">
        <v>572</v>
      </c>
      <c r="D86">
        <v>501</v>
      </c>
      <c r="E86">
        <v>620</v>
      </c>
      <c r="F86">
        <v>590</v>
      </c>
      <c r="G86">
        <v>3009</v>
      </c>
      <c r="I86" s="9">
        <v>1999</v>
      </c>
      <c r="J86">
        <v>1041</v>
      </c>
      <c r="K86">
        <v>1015</v>
      </c>
      <c r="L86">
        <v>763</v>
      </c>
      <c r="M86">
        <v>1872</v>
      </c>
      <c r="N86">
        <v>533</v>
      </c>
      <c r="O86">
        <v>5224</v>
      </c>
    </row>
    <row r="88" spans="1:9" ht="12.75">
      <c r="A88" s="4" t="str">
        <f>CONCATENATE("Percent of Total Offenses, White New Admissions: ",$A$1)</f>
        <v>Percent of Total Offenses, White New Admissions: GEORGIA</v>
      </c>
      <c r="I88" s="4" t="str">
        <f>CONCATENATE("Percent of Total Offenses, Black New Admissions: ",$A$1)</f>
        <v>Percent of Total Offenses, Black New Admissions: GEORGIA</v>
      </c>
    </row>
    <row r="89" spans="1:15" s="4" customFormat="1" ht="12.75">
      <c r="A89" s="18" t="s">
        <v>20</v>
      </c>
      <c r="B89" s="14" t="s">
        <v>14</v>
      </c>
      <c r="C89" s="14" t="s">
        <v>15</v>
      </c>
      <c r="D89" s="14" t="s">
        <v>16</v>
      </c>
      <c r="E89" s="14" t="s">
        <v>17</v>
      </c>
      <c r="F89" s="14" t="s">
        <v>18</v>
      </c>
      <c r="G89" s="14" t="s">
        <v>19</v>
      </c>
      <c r="I89" s="18" t="s">
        <v>20</v>
      </c>
      <c r="J89" s="14" t="s">
        <v>14</v>
      </c>
      <c r="K89" s="14" t="s">
        <v>15</v>
      </c>
      <c r="L89" s="14" t="s">
        <v>16</v>
      </c>
      <c r="M89" s="14" t="s">
        <v>17</v>
      </c>
      <c r="N89" s="14" t="s">
        <v>18</v>
      </c>
      <c r="O89" s="14" t="s">
        <v>19</v>
      </c>
    </row>
    <row r="90" spans="1:15" ht="12.75">
      <c r="A90" s="9">
        <v>1983</v>
      </c>
      <c r="B90" s="1">
        <f aca="true" t="shared" si="13" ref="B90:G90">(B70/$G70)*100</f>
        <v>18.467289719626166</v>
      </c>
      <c r="C90" s="1">
        <f t="shared" si="13"/>
        <v>36.71028037383178</v>
      </c>
      <c r="D90" s="1">
        <f t="shared" si="13"/>
        <v>15.663551401869158</v>
      </c>
      <c r="E90" s="1">
        <f t="shared" si="13"/>
        <v>14.616822429906543</v>
      </c>
      <c r="F90" s="1">
        <f t="shared" si="13"/>
        <v>14.542056074766355</v>
      </c>
      <c r="G90" s="1">
        <f t="shared" si="13"/>
        <v>100</v>
      </c>
      <c r="I90" s="9">
        <v>1983</v>
      </c>
      <c r="J90" s="1">
        <f aca="true" t="shared" si="14" ref="J90:O104">(J70/$O70)*100</f>
        <v>20.549970431697222</v>
      </c>
      <c r="K90" s="1">
        <f t="shared" si="14"/>
        <v>45.50561797752809</v>
      </c>
      <c r="L90" s="1">
        <f t="shared" si="14"/>
        <v>15.759905381431105</v>
      </c>
      <c r="M90" s="1">
        <f t="shared" si="14"/>
        <v>10.023654642223537</v>
      </c>
      <c r="N90" s="1">
        <f t="shared" si="14"/>
        <v>8.160851567120048</v>
      </c>
      <c r="O90" s="1">
        <f t="shared" si="14"/>
        <v>100</v>
      </c>
    </row>
    <row r="91" spans="1:15" ht="12.75">
      <c r="A91" s="9">
        <v>1984</v>
      </c>
      <c r="B91" s="1">
        <f aca="true" t="shared" si="15" ref="B91:G106">(B71/$G71)*100</f>
        <v>16.512243547319656</v>
      </c>
      <c r="C91" s="1">
        <f t="shared" si="15"/>
        <v>26.207809397749838</v>
      </c>
      <c r="D91" s="1">
        <f t="shared" si="15"/>
        <v>15.718067504963601</v>
      </c>
      <c r="E91" s="1">
        <f t="shared" si="15"/>
        <v>16.57842488418266</v>
      </c>
      <c r="F91" s="1">
        <f t="shared" si="15"/>
        <v>24.98345466578425</v>
      </c>
      <c r="G91" s="1">
        <f t="shared" si="15"/>
        <v>100</v>
      </c>
      <c r="I91" s="9">
        <v>1984</v>
      </c>
      <c r="J91" s="1">
        <f t="shared" si="14"/>
        <v>19.198533263488738</v>
      </c>
      <c r="K91" s="1">
        <f t="shared" si="14"/>
        <v>33.18491356731273</v>
      </c>
      <c r="L91" s="1">
        <f t="shared" si="14"/>
        <v>18.15086432687271</v>
      </c>
      <c r="M91" s="1">
        <f t="shared" si="14"/>
        <v>14.3006809848088</v>
      </c>
      <c r="N91" s="1">
        <f t="shared" si="14"/>
        <v>15.165007857517024</v>
      </c>
      <c r="O91" s="1">
        <f t="shared" si="14"/>
        <v>100</v>
      </c>
    </row>
    <row r="92" spans="1:9" ht="12.75">
      <c r="A92" s="9">
        <v>1985</v>
      </c>
      <c r="I92" s="9">
        <v>1985</v>
      </c>
    </row>
    <row r="93" spans="1:9" ht="12.75">
      <c r="A93" s="9">
        <v>1986</v>
      </c>
      <c r="I93" s="9">
        <v>1986</v>
      </c>
    </row>
    <row r="94" spans="1:15" ht="12.75">
      <c r="A94" s="9">
        <v>1987</v>
      </c>
      <c r="B94" s="1">
        <f t="shared" si="15"/>
        <v>3.577417551704863</v>
      </c>
      <c r="C94" s="1"/>
      <c r="D94" s="1"/>
      <c r="E94" s="1"/>
      <c r="F94" s="1">
        <f t="shared" si="15"/>
        <v>96.42258244829513</v>
      </c>
      <c r="G94" s="1">
        <f t="shared" si="15"/>
        <v>100</v>
      </c>
      <c r="I94" s="9">
        <v>1987</v>
      </c>
      <c r="J94" s="1">
        <f t="shared" si="14"/>
        <v>4.912556494399686</v>
      </c>
      <c r="K94" s="1"/>
      <c r="L94" s="1"/>
      <c r="M94" s="1"/>
      <c r="N94" s="1">
        <f t="shared" si="14"/>
        <v>95.0874435056003</v>
      </c>
      <c r="O94" s="1">
        <f t="shared" si="14"/>
        <v>100</v>
      </c>
    </row>
    <row r="95" spans="1:15" ht="12.75">
      <c r="A95" s="9">
        <v>1988</v>
      </c>
      <c r="B95" s="1">
        <f t="shared" si="15"/>
        <v>13.30522765598651</v>
      </c>
      <c r="C95" s="1">
        <f t="shared" si="15"/>
        <v>20.45531197301855</v>
      </c>
      <c r="D95" s="1">
        <f t="shared" si="15"/>
        <v>9.915682967959528</v>
      </c>
      <c r="E95" s="1">
        <f t="shared" si="15"/>
        <v>14.013490725126477</v>
      </c>
      <c r="F95" s="1">
        <f t="shared" si="15"/>
        <v>42.310286677908934</v>
      </c>
      <c r="G95" s="1">
        <f t="shared" si="15"/>
        <v>100</v>
      </c>
      <c r="I95" s="9">
        <v>1988</v>
      </c>
      <c r="J95" s="1">
        <f t="shared" si="14"/>
        <v>13.08401743184352</v>
      </c>
      <c r="K95" s="1">
        <f t="shared" si="14"/>
        <v>22.772879294618427</v>
      </c>
      <c r="L95" s="1">
        <f t="shared" si="14"/>
        <v>10.215871085436303</v>
      </c>
      <c r="M95" s="1">
        <f t="shared" si="14"/>
        <v>21.647917300091212</v>
      </c>
      <c r="N95" s="1">
        <f t="shared" si="14"/>
        <v>32.27931488801054</v>
      </c>
      <c r="O95" s="1">
        <f t="shared" si="14"/>
        <v>100</v>
      </c>
    </row>
    <row r="96" spans="1:15" ht="12.75">
      <c r="A96" s="9">
        <v>1989</v>
      </c>
      <c r="B96" s="1">
        <f t="shared" si="15"/>
        <v>23.294346978557503</v>
      </c>
      <c r="C96" s="1">
        <f t="shared" si="15"/>
        <v>24.269005847953213</v>
      </c>
      <c r="D96" s="1">
        <f t="shared" si="15"/>
        <v>11.825860948667966</v>
      </c>
      <c r="E96" s="1">
        <f t="shared" si="15"/>
        <v>20.69525666016894</v>
      </c>
      <c r="F96" s="1">
        <f t="shared" si="15"/>
        <v>19.91552956465237</v>
      </c>
      <c r="G96" s="1">
        <f t="shared" si="15"/>
        <v>100</v>
      </c>
      <c r="I96" s="9">
        <v>1989</v>
      </c>
      <c r="J96" s="1">
        <f t="shared" si="14"/>
        <v>17.074405264045893</v>
      </c>
      <c r="K96" s="1">
        <f t="shared" si="14"/>
        <v>28.496709971317696</v>
      </c>
      <c r="L96" s="1">
        <f t="shared" si="14"/>
        <v>9.397671672009448</v>
      </c>
      <c r="M96" s="1">
        <f t="shared" si="14"/>
        <v>35.51543782689387</v>
      </c>
      <c r="N96" s="1">
        <f t="shared" si="14"/>
        <v>9.515775265733085</v>
      </c>
      <c r="O96" s="1">
        <f t="shared" si="14"/>
        <v>100</v>
      </c>
    </row>
    <row r="97" spans="1:15" ht="12.75">
      <c r="A97" s="9">
        <v>1990</v>
      </c>
      <c r="B97" s="1">
        <f t="shared" si="15"/>
        <v>22.88299935358759</v>
      </c>
      <c r="C97" s="1">
        <f t="shared" si="15"/>
        <v>24.20814479638009</v>
      </c>
      <c r="D97" s="1">
        <f t="shared" si="15"/>
        <v>12.928248222365871</v>
      </c>
      <c r="E97" s="1">
        <f t="shared" si="15"/>
        <v>20.103425985778927</v>
      </c>
      <c r="F97" s="1">
        <f t="shared" si="15"/>
        <v>19.877181641887525</v>
      </c>
      <c r="G97" s="1">
        <f t="shared" si="15"/>
        <v>100</v>
      </c>
      <c r="I97" s="9">
        <v>1990</v>
      </c>
      <c r="J97" s="1">
        <f t="shared" si="14"/>
        <v>16.27906976744186</v>
      </c>
      <c r="K97" s="1">
        <f t="shared" si="14"/>
        <v>24.992035680152917</v>
      </c>
      <c r="L97" s="1">
        <f t="shared" si="14"/>
        <v>10.050971647021345</v>
      </c>
      <c r="M97" s="1">
        <f t="shared" si="14"/>
        <v>38.92959541255177</v>
      </c>
      <c r="N97" s="1">
        <f t="shared" si="14"/>
        <v>9.748327492832113</v>
      </c>
      <c r="O97" s="1">
        <f t="shared" si="14"/>
        <v>100</v>
      </c>
    </row>
    <row r="98" spans="1:15" ht="12.75">
      <c r="A98" s="9">
        <v>1991</v>
      </c>
      <c r="B98" s="1">
        <f t="shared" si="15"/>
        <v>22.762718158187894</v>
      </c>
      <c r="C98" s="1">
        <f t="shared" si="15"/>
        <v>21.463052357965097</v>
      </c>
      <c r="D98" s="1">
        <f t="shared" si="15"/>
        <v>13.739324173783885</v>
      </c>
      <c r="E98" s="1">
        <f t="shared" si="15"/>
        <v>19.08652060898626</v>
      </c>
      <c r="F98" s="1">
        <f t="shared" si="15"/>
        <v>22.948384701076865</v>
      </c>
      <c r="G98" s="1">
        <f t="shared" si="15"/>
        <v>100</v>
      </c>
      <c r="I98" s="9">
        <v>1991</v>
      </c>
      <c r="J98" s="1">
        <f t="shared" si="14"/>
        <v>18.463239358761747</v>
      </c>
      <c r="K98" s="1">
        <f t="shared" si="14"/>
        <v>24.35968306615073</v>
      </c>
      <c r="L98" s="1">
        <f t="shared" si="14"/>
        <v>10.632025059885757</v>
      </c>
      <c r="M98" s="1">
        <f t="shared" si="14"/>
        <v>37.18444812972176</v>
      </c>
      <c r="N98" s="1">
        <f t="shared" si="14"/>
        <v>9.360604385480007</v>
      </c>
      <c r="O98" s="1">
        <f t="shared" si="14"/>
        <v>100</v>
      </c>
    </row>
    <row r="99" spans="1:15" ht="12.75">
      <c r="A99" s="9">
        <v>1992</v>
      </c>
      <c r="B99" s="1">
        <f t="shared" si="15"/>
        <v>25.148809523809522</v>
      </c>
      <c r="C99" s="1">
        <f t="shared" si="15"/>
        <v>22.433035714285715</v>
      </c>
      <c r="D99" s="1">
        <f t="shared" si="15"/>
        <v>13.430059523809524</v>
      </c>
      <c r="E99" s="1">
        <f t="shared" si="15"/>
        <v>16.741071428571427</v>
      </c>
      <c r="F99" s="1">
        <f t="shared" si="15"/>
        <v>22.247023809523807</v>
      </c>
      <c r="G99" s="1">
        <f t="shared" si="15"/>
        <v>100</v>
      </c>
      <c r="I99" s="9">
        <v>1992</v>
      </c>
      <c r="J99" s="1">
        <f t="shared" si="14"/>
        <v>19.252926965248097</v>
      </c>
      <c r="K99" s="1">
        <f t="shared" si="14"/>
        <v>23.15554729604163</v>
      </c>
      <c r="L99" s="1">
        <f t="shared" si="14"/>
        <v>11.429102397323918</v>
      </c>
      <c r="M99" s="1">
        <f t="shared" si="14"/>
        <v>35.62534844824382</v>
      </c>
      <c r="N99" s="1">
        <f t="shared" si="14"/>
        <v>10.537074893142538</v>
      </c>
      <c r="O99" s="1">
        <f t="shared" si="14"/>
        <v>100</v>
      </c>
    </row>
    <row r="100" spans="1:15" ht="12.75">
      <c r="A100" s="9">
        <v>1993</v>
      </c>
      <c r="B100" s="1">
        <f t="shared" si="15"/>
        <v>26.24693376941946</v>
      </c>
      <c r="C100" s="1">
        <f t="shared" si="15"/>
        <v>20.441537203597708</v>
      </c>
      <c r="D100" s="1">
        <f t="shared" si="15"/>
        <v>13.81847914963205</v>
      </c>
      <c r="E100" s="1">
        <f t="shared" si="15"/>
        <v>15.739983646770236</v>
      </c>
      <c r="F100" s="1">
        <f t="shared" si="15"/>
        <v>23.75306623058054</v>
      </c>
      <c r="G100" s="1">
        <f t="shared" si="15"/>
        <v>100</v>
      </c>
      <c r="I100" s="9">
        <v>1993</v>
      </c>
      <c r="J100" s="1">
        <f t="shared" si="14"/>
        <v>20.25819265143992</v>
      </c>
      <c r="K100" s="1">
        <f t="shared" si="14"/>
        <v>26.05759682224429</v>
      </c>
      <c r="L100" s="1">
        <f t="shared" si="14"/>
        <v>11.022840119165839</v>
      </c>
      <c r="M100" s="1">
        <f t="shared" si="14"/>
        <v>32.73088381330685</v>
      </c>
      <c r="N100" s="1">
        <f t="shared" si="14"/>
        <v>9.930486593843098</v>
      </c>
      <c r="O100" s="1">
        <f t="shared" si="14"/>
        <v>100</v>
      </c>
    </row>
    <row r="101" spans="1:15" ht="12.75">
      <c r="A101" s="9">
        <v>1994</v>
      </c>
      <c r="B101" s="1">
        <f t="shared" si="15"/>
        <v>25.726299694189603</v>
      </c>
      <c r="C101" s="1">
        <f t="shared" si="15"/>
        <v>20.948012232415902</v>
      </c>
      <c r="D101" s="1">
        <f t="shared" si="15"/>
        <v>14.181957186544341</v>
      </c>
      <c r="E101" s="1">
        <f t="shared" si="15"/>
        <v>16.551987767584098</v>
      </c>
      <c r="F101" s="1">
        <f t="shared" si="15"/>
        <v>22.591743119266056</v>
      </c>
      <c r="G101" s="1">
        <f t="shared" si="15"/>
        <v>100</v>
      </c>
      <c r="I101" s="9">
        <v>1994</v>
      </c>
      <c r="J101" s="1">
        <f t="shared" si="14"/>
        <v>19.588851551690055</v>
      </c>
      <c r="K101" s="1">
        <f t="shared" si="14"/>
        <v>24.01660407195098</v>
      </c>
      <c r="L101" s="1">
        <f t="shared" si="14"/>
        <v>12.255386440007907</v>
      </c>
      <c r="M101" s="1">
        <f t="shared" si="14"/>
        <v>34.31508203202214</v>
      </c>
      <c r="N101" s="1">
        <f t="shared" si="14"/>
        <v>9.824075904328918</v>
      </c>
      <c r="O101" s="1">
        <f t="shared" si="14"/>
        <v>100</v>
      </c>
    </row>
    <row r="102" spans="1:15" ht="12.75">
      <c r="A102" s="9">
        <v>1995</v>
      </c>
      <c r="B102" s="1">
        <f t="shared" si="15"/>
        <v>23.302023121387283</v>
      </c>
      <c r="C102" s="1">
        <f t="shared" si="15"/>
        <v>18.316473988439306</v>
      </c>
      <c r="D102" s="1">
        <f t="shared" si="15"/>
        <v>14.017341040462428</v>
      </c>
      <c r="E102" s="1">
        <f t="shared" si="15"/>
        <v>18.42485549132948</v>
      </c>
      <c r="F102" s="1">
        <f t="shared" si="15"/>
        <v>25.939306358381504</v>
      </c>
      <c r="G102" s="1">
        <f t="shared" si="15"/>
        <v>100</v>
      </c>
      <c r="I102" s="9">
        <v>1995</v>
      </c>
      <c r="J102" s="1">
        <f t="shared" si="14"/>
        <v>19.07798833819242</v>
      </c>
      <c r="K102" s="1">
        <f t="shared" si="14"/>
        <v>21.519679300291543</v>
      </c>
      <c r="L102" s="1">
        <f t="shared" si="14"/>
        <v>13.92128279883382</v>
      </c>
      <c r="M102" s="1">
        <f t="shared" si="14"/>
        <v>34.36588921282799</v>
      </c>
      <c r="N102" s="1">
        <f t="shared" si="14"/>
        <v>11.115160349854229</v>
      </c>
      <c r="O102" s="1">
        <f t="shared" si="14"/>
        <v>100</v>
      </c>
    </row>
    <row r="103" spans="1:15" ht="12.75">
      <c r="A103" s="9">
        <v>1996</v>
      </c>
      <c r="B103" s="1">
        <f t="shared" si="15"/>
        <v>25.432445067788684</v>
      </c>
      <c r="C103" s="1">
        <f t="shared" si="15"/>
        <v>21.73913043478261</v>
      </c>
      <c r="D103" s="1">
        <f t="shared" si="15"/>
        <v>15.007012622720897</v>
      </c>
      <c r="E103" s="1">
        <f t="shared" si="15"/>
        <v>18.700327255726975</v>
      </c>
      <c r="F103" s="1">
        <f t="shared" si="15"/>
        <v>19.12108461898083</v>
      </c>
      <c r="G103" s="1">
        <f t="shared" si="15"/>
        <v>100</v>
      </c>
      <c r="I103" s="9">
        <v>1996</v>
      </c>
      <c r="J103" s="1">
        <f t="shared" si="14"/>
        <v>23.568223805753497</v>
      </c>
      <c r="K103" s="1">
        <f t="shared" si="14"/>
        <v>22.301398785959357</v>
      </c>
      <c r="L103" s="1">
        <f t="shared" si="14"/>
        <v>11.190287674848246</v>
      </c>
      <c r="M103" s="1">
        <f t="shared" si="14"/>
        <v>33.729216152019006</v>
      </c>
      <c r="N103" s="1">
        <f t="shared" si="14"/>
        <v>9.2108735814199</v>
      </c>
      <c r="O103" s="1">
        <f t="shared" si="14"/>
        <v>100</v>
      </c>
    </row>
    <row r="104" spans="1:15" ht="12.75">
      <c r="A104" s="9">
        <v>1997</v>
      </c>
      <c r="I104" s="9">
        <v>1997</v>
      </c>
      <c r="J104" s="1"/>
      <c r="K104" s="1"/>
      <c r="L104" s="1"/>
      <c r="M104" s="1"/>
      <c r="N104" s="1"/>
      <c r="O104" s="1"/>
    </row>
    <row r="105" spans="1:15" ht="12.75">
      <c r="A105" s="9">
        <v>1998</v>
      </c>
      <c r="B105" s="1">
        <f t="shared" si="15"/>
        <v>25.322079075966236</v>
      </c>
      <c r="C105" s="1">
        <f t="shared" si="15"/>
        <v>21.99022656597068</v>
      </c>
      <c r="D105" s="1">
        <f t="shared" si="15"/>
        <v>14.704575744113727</v>
      </c>
      <c r="E105" s="1">
        <f t="shared" si="15"/>
        <v>19.857840959573522</v>
      </c>
      <c r="F105" s="1">
        <f t="shared" si="15"/>
        <v>18.125277654375832</v>
      </c>
      <c r="G105" s="1">
        <f t="shared" si="15"/>
        <v>100</v>
      </c>
      <c r="I105" s="9">
        <v>1998</v>
      </c>
      <c r="J105" s="1">
        <f aca="true" t="shared" si="16" ref="J105:O105">(J85/$O85)*100</f>
        <v>22.185970636215334</v>
      </c>
      <c r="K105" s="1">
        <f t="shared" si="16"/>
        <v>21.37030995106036</v>
      </c>
      <c r="L105" s="1">
        <f t="shared" si="16"/>
        <v>14.845024469820556</v>
      </c>
      <c r="M105" s="1">
        <f t="shared" si="16"/>
        <v>31.91952147906471</v>
      </c>
      <c r="N105" s="1">
        <f t="shared" si="16"/>
        <v>9.679173463839042</v>
      </c>
      <c r="O105" s="1">
        <f t="shared" si="16"/>
        <v>100</v>
      </c>
    </row>
    <row r="106" spans="1:15" ht="12.75">
      <c r="A106" s="9">
        <v>1999</v>
      </c>
      <c r="B106" s="1">
        <f t="shared" si="15"/>
        <v>24.127617148554336</v>
      </c>
      <c r="C106" s="1">
        <f t="shared" si="15"/>
        <v>19.009637753406448</v>
      </c>
      <c r="D106" s="1">
        <f t="shared" si="15"/>
        <v>16.650049850448653</v>
      </c>
      <c r="E106" s="1">
        <f t="shared" si="15"/>
        <v>20.60485211033566</v>
      </c>
      <c r="F106" s="1">
        <f t="shared" si="15"/>
        <v>19.607843137254903</v>
      </c>
      <c r="G106" s="1">
        <f t="shared" si="15"/>
        <v>100</v>
      </c>
      <c r="I106" s="9">
        <v>1999</v>
      </c>
      <c r="J106" s="1">
        <f aca="true" t="shared" si="17" ref="J106:O106">(J86/$O86)*100</f>
        <v>19.927258805513016</v>
      </c>
      <c r="K106" s="1">
        <f t="shared" si="17"/>
        <v>19.42955589586524</v>
      </c>
      <c r="L106" s="1">
        <f t="shared" si="17"/>
        <v>14.605666156202144</v>
      </c>
      <c r="M106" s="1">
        <f t="shared" si="17"/>
        <v>35.83460949464013</v>
      </c>
      <c r="N106" s="1">
        <f t="shared" si="17"/>
        <v>10.202909647779478</v>
      </c>
      <c r="O106" s="1">
        <f t="shared" si="17"/>
        <v>100</v>
      </c>
    </row>
    <row r="108" spans="1:9" ht="12.75">
      <c r="A108" s="4" t="str">
        <f>CONCATENATE("Admissions by Admission-Type, All Races: ",$A$1)</f>
        <v>Admissions by Admission-Type, All Races: GEORGIA</v>
      </c>
      <c r="I108" s="4" t="str">
        <f>CONCATENATE("Percent of Total, Admissions by Admission-Type, All Races: ",$A$1)</f>
        <v>Percent of Total, Admissions by Admission-Type, All Races: GEORGIA</v>
      </c>
    </row>
    <row r="109" spans="1:13" s="4" customFormat="1" ht="12.75">
      <c r="A109" s="18" t="s">
        <v>20</v>
      </c>
      <c r="B109" s="14" t="s">
        <v>24</v>
      </c>
      <c r="C109" s="14" t="s">
        <v>21</v>
      </c>
      <c r="D109" s="14" t="s">
        <v>35</v>
      </c>
      <c r="E109" s="14" t="s">
        <v>22</v>
      </c>
      <c r="F109" s="14" t="s">
        <v>36</v>
      </c>
      <c r="G109" s="14" t="s">
        <v>13</v>
      </c>
      <c r="I109" s="18" t="s">
        <v>20</v>
      </c>
      <c r="J109" s="14" t="s">
        <v>24</v>
      </c>
      <c r="K109" s="14" t="s">
        <v>23</v>
      </c>
      <c r="L109" s="14" t="s">
        <v>22</v>
      </c>
      <c r="M109" s="14" t="s">
        <v>13</v>
      </c>
    </row>
    <row r="110" spans="1:13" ht="12.75">
      <c r="A110" s="9">
        <v>1983</v>
      </c>
      <c r="B110">
        <v>6057</v>
      </c>
      <c r="C110">
        <v>1202</v>
      </c>
      <c r="D110">
        <v>2392</v>
      </c>
      <c r="E110">
        <v>0</v>
      </c>
      <c r="F110" s="2">
        <f>SUM(C110:D110)</f>
        <v>3594</v>
      </c>
      <c r="G110">
        <v>9651</v>
      </c>
      <c r="I110" s="9">
        <v>1983</v>
      </c>
      <c r="J110" s="1">
        <f aca="true" t="shared" si="18" ref="J110:J126">(B110/$G110)*100</f>
        <v>62.76033571650606</v>
      </c>
      <c r="K110" s="1">
        <f aca="true" t="shared" si="19" ref="K110:K126">((C110+D110)/$G110)*100</f>
        <v>37.23966428349394</v>
      </c>
      <c r="L110" s="1">
        <f aca="true" t="shared" si="20" ref="L110:L126">(E110/$G110)*100</f>
        <v>0</v>
      </c>
      <c r="M110" s="1">
        <f aca="true" t="shared" si="21" ref="M110:M126">(G110/$G110)*100</f>
        <v>100</v>
      </c>
    </row>
    <row r="111" spans="1:13" ht="12.75">
      <c r="A111" s="9">
        <v>1984</v>
      </c>
      <c r="B111">
        <v>6842</v>
      </c>
      <c r="C111">
        <v>1799</v>
      </c>
      <c r="D111">
        <v>3399</v>
      </c>
      <c r="E111">
        <v>206</v>
      </c>
      <c r="F111" s="2">
        <f aca="true" t="shared" si="22" ref="F111:F126">SUM(C111:D111)</f>
        <v>5198</v>
      </c>
      <c r="G111">
        <v>12246</v>
      </c>
      <c r="I111" s="9">
        <v>1984</v>
      </c>
      <c r="J111" s="1">
        <f t="shared" si="18"/>
        <v>55.87130491589091</v>
      </c>
      <c r="K111" s="1">
        <f t="shared" si="19"/>
        <v>42.446513147150085</v>
      </c>
      <c r="L111" s="1">
        <f t="shared" si="20"/>
        <v>1.6821819369590068</v>
      </c>
      <c r="M111" s="1">
        <f t="shared" si="21"/>
        <v>100</v>
      </c>
    </row>
    <row r="112" spans="1:13" ht="12.75">
      <c r="A112" s="9">
        <v>1985</v>
      </c>
      <c r="F112" s="2"/>
      <c r="I112" s="9">
        <v>1985</v>
      </c>
      <c r="J112" s="1"/>
      <c r="K112" s="1"/>
      <c r="L112" s="1"/>
      <c r="M112" s="1"/>
    </row>
    <row r="113" spans="1:13" ht="12.75">
      <c r="A113" s="9">
        <v>1986</v>
      </c>
      <c r="F113" s="2"/>
      <c r="I113" s="9">
        <v>1986</v>
      </c>
      <c r="J113" s="1"/>
      <c r="K113" s="1"/>
      <c r="L113" s="1"/>
      <c r="M113" s="1"/>
    </row>
    <row r="114" spans="1:13" ht="12.75">
      <c r="A114" s="9">
        <v>1987</v>
      </c>
      <c r="B114">
        <v>8667</v>
      </c>
      <c r="C114">
        <v>2414</v>
      </c>
      <c r="D114">
        <v>3177</v>
      </c>
      <c r="E114">
        <v>255</v>
      </c>
      <c r="F114" s="2">
        <f t="shared" si="22"/>
        <v>5591</v>
      </c>
      <c r="G114">
        <v>14513</v>
      </c>
      <c r="I114" s="9">
        <v>1987</v>
      </c>
      <c r="J114" s="1">
        <f t="shared" si="18"/>
        <v>59.7188727347895</v>
      </c>
      <c r="K114" s="1">
        <f t="shared" si="19"/>
        <v>38.52408185764487</v>
      </c>
      <c r="L114" s="1">
        <f t="shared" si="20"/>
        <v>1.7570454075656308</v>
      </c>
      <c r="M114" s="1">
        <f t="shared" si="21"/>
        <v>100</v>
      </c>
    </row>
    <row r="115" spans="1:13" ht="12.75">
      <c r="A115" s="9">
        <v>1988</v>
      </c>
      <c r="B115">
        <v>15963</v>
      </c>
      <c r="C115">
        <v>4637</v>
      </c>
      <c r="D115">
        <v>4735</v>
      </c>
      <c r="E115">
        <v>419</v>
      </c>
      <c r="F115" s="2">
        <f t="shared" si="22"/>
        <v>9372</v>
      </c>
      <c r="G115">
        <v>25754</v>
      </c>
      <c r="I115" s="9">
        <v>1988</v>
      </c>
      <c r="J115" s="1">
        <f t="shared" si="18"/>
        <v>61.982604643938814</v>
      </c>
      <c r="K115" s="1">
        <f t="shared" si="19"/>
        <v>36.39046361730217</v>
      </c>
      <c r="L115" s="1">
        <f t="shared" si="20"/>
        <v>1.6269317387590279</v>
      </c>
      <c r="M115" s="1">
        <f t="shared" si="21"/>
        <v>100</v>
      </c>
    </row>
    <row r="116" spans="1:13" ht="12.75">
      <c r="A116" s="9">
        <v>1989</v>
      </c>
      <c r="B116">
        <v>9110</v>
      </c>
      <c r="C116">
        <v>3335</v>
      </c>
      <c r="D116">
        <v>3560</v>
      </c>
      <c r="E116">
        <v>153</v>
      </c>
      <c r="F116" s="2">
        <f t="shared" si="22"/>
        <v>6895</v>
      </c>
      <c r="G116">
        <v>16158</v>
      </c>
      <c r="I116" s="9">
        <v>1989</v>
      </c>
      <c r="J116" s="1">
        <f t="shared" si="18"/>
        <v>56.38074019061765</v>
      </c>
      <c r="K116" s="1">
        <f t="shared" si="19"/>
        <v>42.672360440648596</v>
      </c>
      <c r="L116" s="1">
        <f t="shared" si="20"/>
        <v>0.9468993687337541</v>
      </c>
      <c r="M116" s="1">
        <f t="shared" si="21"/>
        <v>100</v>
      </c>
    </row>
    <row r="117" spans="1:13" ht="12.75">
      <c r="A117" s="9">
        <v>1990</v>
      </c>
      <c r="B117">
        <v>9444</v>
      </c>
      <c r="C117">
        <v>3609</v>
      </c>
      <c r="D117">
        <v>4586</v>
      </c>
      <c r="E117">
        <v>108</v>
      </c>
      <c r="F117" s="2">
        <f t="shared" si="22"/>
        <v>8195</v>
      </c>
      <c r="G117">
        <v>17747</v>
      </c>
      <c r="I117" s="9">
        <v>1990</v>
      </c>
      <c r="J117" s="1">
        <f t="shared" si="18"/>
        <v>53.21462782442102</v>
      </c>
      <c r="K117" s="1">
        <f t="shared" si="19"/>
        <v>46.17681861723108</v>
      </c>
      <c r="L117" s="1">
        <f t="shared" si="20"/>
        <v>0.6085535583478897</v>
      </c>
      <c r="M117" s="1">
        <f t="shared" si="21"/>
        <v>100</v>
      </c>
    </row>
    <row r="118" spans="1:13" ht="12.75">
      <c r="A118" s="9">
        <v>1991</v>
      </c>
      <c r="B118">
        <v>8174</v>
      </c>
      <c r="C118">
        <v>3537</v>
      </c>
      <c r="D118">
        <v>4809</v>
      </c>
      <c r="E118">
        <v>107</v>
      </c>
      <c r="F118" s="2">
        <f t="shared" si="22"/>
        <v>8346</v>
      </c>
      <c r="G118">
        <v>16627</v>
      </c>
      <c r="I118" s="9">
        <v>1991</v>
      </c>
      <c r="J118" s="1">
        <f t="shared" si="18"/>
        <v>49.16100318758645</v>
      </c>
      <c r="K118" s="1">
        <f t="shared" si="19"/>
        <v>50.19546520719312</v>
      </c>
      <c r="L118" s="1">
        <f t="shared" si="20"/>
        <v>0.6435316052204246</v>
      </c>
      <c r="M118" s="1">
        <f t="shared" si="21"/>
        <v>100</v>
      </c>
    </row>
    <row r="119" spans="1:13" ht="12.75">
      <c r="A119" s="9">
        <v>1992</v>
      </c>
      <c r="B119">
        <v>8093</v>
      </c>
      <c r="C119">
        <v>3836</v>
      </c>
      <c r="D119">
        <v>4482</v>
      </c>
      <c r="E119">
        <v>472</v>
      </c>
      <c r="F119" s="2">
        <f t="shared" si="22"/>
        <v>8318</v>
      </c>
      <c r="G119">
        <v>16883</v>
      </c>
      <c r="I119" s="9">
        <v>1992</v>
      </c>
      <c r="J119" s="1">
        <f t="shared" si="18"/>
        <v>47.93579340164663</v>
      </c>
      <c r="K119" s="1">
        <f t="shared" si="19"/>
        <v>49.26849493573417</v>
      </c>
      <c r="L119" s="1">
        <f t="shared" si="20"/>
        <v>2.7957116626192025</v>
      </c>
      <c r="M119" s="1">
        <f t="shared" si="21"/>
        <v>100</v>
      </c>
    </row>
    <row r="120" spans="1:13" ht="12.75">
      <c r="A120" s="9">
        <v>1993</v>
      </c>
      <c r="B120">
        <v>7578</v>
      </c>
      <c r="C120">
        <v>3551</v>
      </c>
      <c r="D120">
        <v>3358</v>
      </c>
      <c r="E120">
        <v>913</v>
      </c>
      <c r="F120" s="2">
        <f t="shared" si="22"/>
        <v>6909</v>
      </c>
      <c r="G120">
        <v>15400</v>
      </c>
      <c r="I120" s="9">
        <v>1993</v>
      </c>
      <c r="J120" s="1">
        <f t="shared" si="18"/>
        <v>49.2077922077922</v>
      </c>
      <c r="K120" s="1">
        <f t="shared" si="19"/>
        <v>44.86363636363636</v>
      </c>
      <c r="L120" s="1">
        <f t="shared" si="20"/>
        <v>5.928571428571429</v>
      </c>
      <c r="M120" s="1">
        <f t="shared" si="21"/>
        <v>100</v>
      </c>
    </row>
    <row r="121" spans="1:13" ht="12.75">
      <c r="A121" s="9">
        <v>1994</v>
      </c>
      <c r="B121">
        <v>7795</v>
      </c>
      <c r="C121">
        <v>3180</v>
      </c>
      <c r="D121">
        <v>3509</v>
      </c>
      <c r="E121">
        <v>864</v>
      </c>
      <c r="F121" s="2">
        <f t="shared" si="22"/>
        <v>6689</v>
      </c>
      <c r="G121">
        <v>15348</v>
      </c>
      <c r="I121" s="9">
        <v>1994</v>
      </c>
      <c r="J121" s="1">
        <f t="shared" si="18"/>
        <v>50.78837633567892</v>
      </c>
      <c r="K121" s="1">
        <f t="shared" si="19"/>
        <v>43.58222569715924</v>
      </c>
      <c r="L121" s="1">
        <f t="shared" si="20"/>
        <v>5.629397967161845</v>
      </c>
      <c r="M121" s="1">
        <f t="shared" si="21"/>
        <v>100</v>
      </c>
    </row>
    <row r="122" spans="1:13" ht="12.75">
      <c r="A122" s="9">
        <v>1995</v>
      </c>
      <c r="B122">
        <v>8346</v>
      </c>
      <c r="C122">
        <v>3463</v>
      </c>
      <c r="D122">
        <v>3406</v>
      </c>
      <c r="E122">
        <v>191</v>
      </c>
      <c r="F122" s="2">
        <f t="shared" si="22"/>
        <v>6869</v>
      </c>
      <c r="G122">
        <v>15406</v>
      </c>
      <c r="I122" s="9">
        <v>1995</v>
      </c>
      <c r="J122" s="1">
        <f t="shared" si="18"/>
        <v>54.17369855900298</v>
      </c>
      <c r="K122" s="1">
        <f t="shared" si="19"/>
        <v>44.58652473062443</v>
      </c>
      <c r="L122" s="1">
        <f t="shared" si="20"/>
        <v>1.239776710372582</v>
      </c>
      <c r="M122" s="1">
        <f t="shared" si="21"/>
        <v>100</v>
      </c>
    </row>
    <row r="123" spans="1:13" ht="12.75">
      <c r="A123" s="9">
        <v>1996</v>
      </c>
      <c r="B123">
        <v>6034</v>
      </c>
      <c r="C123">
        <v>5593</v>
      </c>
      <c r="D123">
        <v>3326</v>
      </c>
      <c r="E123">
        <v>71</v>
      </c>
      <c r="F123" s="2">
        <f t="shared" si="22"/>
        <v>8919</v>
      </c>
      <c r="G123">
        <v>15024</v>
      </c>
      <c r="I123" s="9">
        <v>1996</v>
      </c>
      <c r="J123" s="1">
        <f t="shared" si="18"/>
        <v>40.16240681576145</v>
      </c>
      <c r="K123" s="1">
        <f t="shared" si="19"/>
        <v>59.365015974440894</v>
      </c>
      <c r="L123" s="1">
        <f t="shared" si="20"/>
        <v>0.4725772097976571</v>
      </c>
      <c r="M123" s="1">
        <f t="shared" si="21"/>
        <v>100</v>
      </c>
    </row>
    <row r="124" spans="1:13" ht="12.75">
      <c r="A124" s="9">
        <v>1997</v>
      </c>
      <c r="F124" s="2"/>
      <c r="I124" s="9">
        <v>1997</v>
      </c>
      <c r="J124" s="1"/>
      <c r="K124" s="1"/>
      <c r="L124" s="1"/>
      <c r="M124" s="1"/>
    </row>
    <row r="125" spans="1:13" ht="12.75">
      <c r="A125" s="9">
        <v>1998</v>
      </c>
      <c r="B125">
        <v>6066</v>
      </c>
      <c r="C125">
        <v>6544</v>
      </c>
      <c r="D125">
        <v>2749</v>
      </c>
      <c r="E125">
        <v>47</v>
      </c>
      <c r="F125" s="2">
        <f t="shared" si="22"/>
        <v>9293</v>
      </c>
      <c r="G125">
        <v>15406</v>
      </c>
      <c r="I125" s="9">
        <v>1998</v>
      </c>
      <c r="J125" s="1">
        <f t="shared" si="18"/>
        <v>39.37426976502662</v>
      </c>
      <c r="K125" s="1">
        <f t="shared" si="19"/>
        <v>60.320654290536154</v>
      </c>
      <c r="L125" s="1">
        <f t="shared" si="20"/>
        <v>0.30507594443723224</v>
      </c>
      <c r="M125" s="1">
        <f t="shared" si="21"/>
        <v>100</v>
      </c>
    </row>
    <row r="126" spans="1:13" ht="12.75">
      <c r="A126" s="9">
        <v>1999</v>
      </c>
      <c r="B126">
        <v>8464</v>
      </c>
      <c r="C126">
        <v>8132</v>
      </c>
      <c r="D126">
        <v>3946</v>
      </c>
      <c r="E126">
        <v>66</v>
      </c>
      <c r="F126" s="2">
        <f t="shared" si="22"/>
        <v>12078</v>
      </c>
      <c r="G126">
        <v>20608</v>
      </c>
      <c r="I126" s="9">
        <v>1999</v>
      </c>
      <c r="J126" s="1">
        <f t="shared" si="18"/>
        <v>41.07142857142857</v>
      </c>
      <c r="K126" s="1">
        <f t="shared" si="19"/>
        <v>58.60830745341615</v>
      </c>
      <c r="L126" s="1">
        <f t="shared" si="20"/>
        <v>0.3202639751552795</v>
      </c>
      <c r="M126" s="1">
        <f t="shared" si="21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showZeros="0" tabSelected="1" zoomScale="50" zoomScaleNormal="50" workbookViewId="0" topLeftCell="A4">
      <selection activeCell="B90" sqref="B90:F106"/>
    </sheetView>
  </sheetViews>
  <sheetFormatPr defaultColWidth="9.140625" defaultRowHeight="12.75"/>
  <cols>
    <col min="1" max="1" width="5.8515625" style="0" customWidth="1"/>
    <col min="2" max="3" width="10.421875" style="0" bestFit="1" customWidth="1"/>
    <col min="4" max="7" width="9.28125" style="0" bestFit="1" customWidth="1"/>
    <col min="8" max="8" width="11.28125" style="0" bestFit="1" customWidth="1"/>
    <col min="10" max="10" width="8.140625" style="0" customWidth="1"/>
    <col min="11" max="12" width="10.421875" style="0" bestFit="1" customWidth="1"/>
    <col min="13" max="13" width="9.28125" style="0" bestFit="1" customWidth="1"/>
    <col min="14" max="14" width="11.28125" style="0" bestFit="1" customWidth="1"/>
    <col min="17" max="17" width="9.28125" style="0" bestFit="1" customWidth="1"/>
    <col min="26" max="26" width="9.28125" style="0" bestFit="1" customWidth="1"/>
    <col min="27" max="27" width="10.421875" style="0" bestFit="1" customWidth="1"/>
    <col min="28" max="28" width="10.140625" style="0" bestFit="1" customWidth="1"/>
    <col min="29" max="32" width="9.28125" style="0" bestFit="1" customWidth="1"/>
  </cols>
  <sheetData>
    <row r="1" ht="12.75">
      <c r="A1" s="4" t="s">
        <v>37</v>
      </c>
    </row>
    <row r="2" spans="1:44" ht="12.75">
      <c r="A2" s="32" t="str">
        <f>CONCATENATE("Total Admissions, All Races: ",$A$1)</f>
        <v>Total Admissions, All Races: GEORGIA</v>
      </c>
      <c r="B2" s="32"/>
      <c r="C2" s="32"/>
      <c r="D2" s="32"/>
      <c r="E2" s="32"/>
      <c r="F2" s="32"/>
      <c r="G2" s="32"/>
      <c r="H2" s="32"/>
      <c r="J2" s="32" t="str">
        <f>CONCATENATE("Total Admissions, BW + Balance: ",$A$1)</f>
        <v>Total Admissions, BW + Balance: GEORGIA</v>
      </c>
      <c r="K2" s="32"/>
      <c r="L2" s="32"/>
      <c r="M2" s="32"/>
      <c r="N2" s="32"/>
      <c r="P2" s="32" t="str">
        <f>CONCATENATE("Percent of Total, Total Admissions by Race: ",$A$1)</f>
        <v>Percent of Total, Total Admissions by Race: GEORGIA</v>
      </c>
      <c r="Q2" s="32"/>
      <c r="R2" s="32"/>
      <c r="S2" s="32"/>
      <c r="T2" s="32"/>
      <c r="U2" s="32"/>
      <c r="V2" s="32"/>
      <c r="W2" s="32"/>
      <c r="Z2" s="32" t="str">
        <f>CONCATENATE("Total Population, By Race: ",$A$1)</f>
        <v>Total Population, By Race: GEORGIA</v>
      </c>
      <c r="AA2" s="32"/>
      <c r="AB2" s="32"/>
      <c r="AC2" s="32"/>
      <c r="AD2" s="32"/>
      <c r="AE2" s="32"/>
      <c r="AF2" s="32"/>
      <c r="AG2" s="32"/>
      <c r="AJ2" s="32" t="str">
        <f>CONCATENATE("Total Admissions, per 100,000 By Race: ",$A$1)</f>
        <v>Total Admissions, per 100,000 By Race: GEORGIA</v>
      </c>
      <c r="AK2" s="32"/>
      <c r="AL2" s="32"/>
      <c r="AM2" s="32"/>
      <c r="AN2" s="32"/>
      <c r="AO2" s="32"/>
      <c r="AP2" s="32"/>
      <c r="AQ2" s="32"/>
      <c r="AR2" s="32"/>
    </row>
    <row r="3" spans="1:44" s="5" customFormat="1" ht="12.75">
      <c r="A3" s="20" t="s">
        <v>25</v>
      </c>
      <c r="B3" s="19" t="s">
        <v>11</v>
      </c>
      <c r="C3" s="19" t="s">
        <v>12</v>
      </c>
      <c r="D3" s="19" t="s">
        <v>28</v>
      </c>
      <c r="E3" s="19" t="s">
        <v>29</v>
      </c>
      <c r="F3" s="19" t="s">
        <v>26</v>
      </c>
      <c r="G3" s="19" t="s">
        <v>27</v>
      </c>
      <c r="H3" s="19" t="s">
        <v>13</v>
      </c>
      <c r="J3" s="20" t="s">
        <v>25</v>
      </c>
      <c r="K3" s="19" t="s">
        <v>11</v>
      </c>
      <c r="L3" s="19" t="s">
        <v>12</v>
      </c>
      <c r="M3" s="19" t="s">
        <v>30</v>
      </c>
      <c r="N3" s="19" t="s">
        <v>13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25</v>
      </c>
      <c r="AA3" s="19" t="s">
        <v>11</v>
      </c>
      <c r="AB3" s="19" t="s">
        <v>12</v>
      </c>
      <c r="AC3" s="19" t="s">
        <v>28</v>
      </c>
      <c r="AD3" s="19" t="s">
        <v>29</v>
      </c>
      <c r="AE3" s="19" t="s">
        <v>26</v>
      </c>
      <c r="AF3" s="19" t="s">
        <v>27</v>
      </c>
      <c r="AG3" s="19" t="s">
        <v>13</v>
      </c>
      <c r="AJ3" s="20" t="s">
        <v>25</v>
      </c>
      <c r="AK3" s="19" t="s">
        <v>11</v>
      </c>
      <c r="AL3" s="19" t="s">
        <v>12</v>
      </c>
      <c r="AM3" s="19" t="s">
        <v>28</v>
      </c>
      <c r="AN3" s="19" t="s">
        <v>29</v>
      </c>
      <c r="AO3" s="19" t="s">
        <v>26</v>
      </c>
      <c r="AP3" s="19" t="s">
        <v>27</v>
      </c>
      <c r="AQ3" s="19" t="s">
        <v>13</v>
      </c>
      <c r="AR3" s="19" t="s">
        <v>30</v>
      </c>
    </row>
    <row r="4" spans="1:44" ht="12.75">
      <c r="A4" s="9">
        <v>1983</v>
      </c>
      <c r="B4">
        <v>4347</v>
      </c>
      <c r="C4">
        <v>5303</v>
      </c>
      <c r="D4">
        <v>0</v>
      </c>
      <c r="E4">
        <v>0</v>
      </c>
      <c r="F4">
        <v>1</v>
      </c>
      <c r="H4" s="2">
        <f>SUM(B4:G4)</f>
        <v>9651</v>
      </c>
      <c r="J4" s="9">
        <v>1983</v>
      </c>
      <c r="K4" s="2">
        <f>B4</f>
        <v>4347</v>
      </c>
      <c r="L4" s="2">
        <f>C4</f>
        <v>5303</v>
      </c>
      <c r="M4" s="2">
        <f aca="true" t="shared" si="1" ref="M4:M21">N4-K4-L4</f>
        <v>1</v>
      </c>
      <c r="N4" s="2">
        <f>H4</f>
        <v>9651</v>
      </c>
      <c r="P4" s="9">
        <f aca="true" t="shared" si="2" ref="P4:P21">A4</f>
        <v>1983</v>
      </c>
      <c r="Q4" s="7">
        <f>(B4/$H4)*100</f>
        <v>45.04196456325769</v>
      </c>
      <c r="R4" s="7">
        <f aca="true" t="shared" si="3" ref="R4:W19">(C4/$H4)*100</f>
        <v>54.94767381618485</v>
      </c>
      <c r="S4" s="7">
        <f t="shared" si="3"/>
        <v>0</v>
      </c>
      <c r="T4" s="7">
        <f t="shared" si="3"/>
        <v>0</v>
      </c>
      <c r="U4" s="7">
        <f t="shared" si="3"/>
        <v>0.010361620557455186</v>
      </c>
      <c r="V4" s="7">
        <f t="shared" si="3"/>
        <v>0</v>
      </c>
      <c r="W4" s="7">
        <f t="shared" si="3"/>
        <v>100</v>
      </c>
      <c r="Z4" s="9">
        <v>1983</v>
      </c>
      <c r="AA4">
        <v>4066112</v>
      </c>
      <c r="AB4">
        <v>1539592</v>
      </c>
      <c r="AC4">
        <v>9408</v>
      </c>
      <c r="AD4">
        <v>40057</v>
      </c>
      <c r="AE4">
        <v>73095</v>
      </c>
      <c r="AG4">
        <f>SUM(AA4:AE4)</f>
        <v>5728264</v>
      </c>
      <c r="AJ4" s="9">
        <v>1983</v>
      </c>
      <c r="AK4" s="1">
        <f>(B4/AA4)*100000</f>
        <v>106.90802417641227</v>
      </c>
      <c r="AL4" s="1">
        <f aca="true" t="shared" si="4" ref="AL4:AO19">(C4/AB4)*100000</f>
        <v>344.4419040888755</v>
      </c>
      <c r="AM4" s="1"/>
      <c r="AN4" s="1"/>
      <c r="AO4" s="1">
        <f t="shared" si="4"/>
        <v>1.3680826321909842</v>
      </c>
      <c r="AP4" s="1"/>
      <c r="AQ4" s="1">
        <f aca="true" t="shared" si="5" ref="AQ4:AQ20">(H4/AG4)*100000</f>
        <v>168.48036333520943</v>
      </c>
      <c r="AR4" s="1">
        <f>(SUM(D4:F4)/SUM(AC4:AE4))*100000</f>
        <v>0.8159268929503917</v>
      </c>
    </row>
    <row r="5" spans="1:44" ht="12.75">
      <c r="A5" s="9">
        <v>1984</v>
      </c>
      <c r="B5">
        <v>5711</v>
      </c>
      <c r="C5">
        <v>6530</v>
      </c>
      <c r="D5">
        <v>0</v>
      </c>
      <c r="E5">
        <v>0</v>
      </c>
      <c r="F5">
        <v>5</v>
      </c>
      <c r="H5" s="2">
        <f aca="true" t="shared" si="6" ref="H5:H21">SUM(B5:G5)</f>
        <v>12246</v>
      </c>
      <c r="J5" s="9">
        <v>1984</v>
      </c>
      <c r="K5" s="2">
        <f aca="true" t="shared" si="7" ref="K5:L21">B5</f>
        <v>5711</v>
      </c>
      <c r="L5" s="2">
        <f t="shared" si="7"/>
        <v>6530</v>
      </c>
      <c r="M5" s="2">
        <f t="shared" si="1"/>
        <v>5</v>
      </c>
      <c r="N5" s="2">
        <f aca="true" t="shared" si="8" ref="N5:N21">H5</f>
        <v>12246</v>
      </c>
      <c r="P5" s="9">
        <f t="shared" si="2"/>
        <v>1984</v>
      </c>
      <c r="Q5" s="7">
        <f aca="true" t="shared" si="9" ref="Q5:Q21">(B5/$H5)*100</f>
        <v>46.635636126081984</v>
      </c>
      <c r="R5" s="7">
        <f t="shared" si="3"/>
        <v>53.323534215253964</v>
      </c>
      <c r="S5" s="7">
        <f t="shared" si="3"/>
        <v>0</v>
      </c>
      <c r="T5" s="7">
        <f t="shared" si="3"/>
        <v>0</v>
      </c>
      <c r="U5" s="7">
        <f t="shared" si="3"/>
        <v>0.04082965866405357</v>
      </c>
      <c r="V5" s="7">
        <f t="shared" si="3"/>
        <v>0</v>
      </c>
      <c r="W5" s="7">
        <f t="shared" si="3"/>
        <v>100</v>
      </c>
      <c r="Z5" s="9">
        <v>1984</v>
      </c>
      <c r="AA5">
        <v>4134531</v>
      </c>
      <c r="AB5">
        <v>1567887</v>
      </c>
      <c r="AC5">
        <v>9996</v>
      </c>
      <c r="AD5">
        <v>44610</v>
      </c>
      <c r="AE5">
        <v>77938</v>
      </c>
      <c r="AG5">
        <f aca="true" t="shared" si="10" ref="AG5:AG20">SUM(AA5:AE5)</f>
        <v>5834962</v>
      </c>
      <c r="AJ5" s="9">
        <v>1984</v>
      </c>
      <c r="AK5" s="1">
        <f aca="true" t="shared" si="11" ref="AK5:AK20">(B5/AA5)*100000</f>
        <v>138.1293307511783</v>
      </c>
      <c r="AL5" s="1">
        <f t="shared" si="4"/>
        <v>416.4840961115183</v>
      </c>
      <c r="AM5" s="1"/>
      <c r="AN5" s="1"/>
      <c r="AO5" s="1">
        <f t="shared" si="4"/>
        <v>6.415355795632426</v>
      </c>
      <c r="AP5" s="1"/>
      <c r="AQ5" s="1">
        <f t="shared" si="5"/>
        <v>209.87283207671274</v>
      </c>
      <c r="AR5" s="1">
        <f aca="true" t="shared" si="12" ref="AR5:AR20">(SUM(D5:F5)/SUM(AC5:AE5))*100000</f>
        <v>3.7723322066634473</v>
      </c>
    </row>
    <row r="6" spans="1:44" ht="12.75">
      <c r="A6" s="9">
        <v>1985</v>
      </c>
      <c r="B6">
        <v>0</v>
      </c>
      <c r="C6">
        <v>0</v>
      </c>
      <c r="D6">
        <v>0</v>
      </c>
      <c r="E6">
        <v>0</v>
      </c>
      <c r="F6">
        <v>0</v>
      </c>
      <c r="H6" s="2">
        <f t="shared" si="6"/>
        <v>0</v>
      </c>
      <c r="J6" s="9">
        <v>1985</v>
      </c>
      <c r="K6" s="2"/>
      <c r="L6" s="2"/>
      <c r="M6" s="2"/>
      <c r="N6" s="2"/>
      <c r="P6" s="9">
        <f t="shared" si="2"/>
        <v>1985</v>
      </c>
      <c r="Q6" s="7"/>
      <c r="R6" s="7"/>
      <c r="S6" s="7"/>
      <c r="T6" s="7"/>
      <c r="U6" s="7"/>
      <c r="V6" s="7"/>
      <c r="W6" s="7"/>
      <c r="Z6" s="9">
        <v>1985</v>
      </c>
      <c r="AA6">
        <v>4218275</v>
      </c>
      <c r="AB6">
        <v>1600794</v>
      </c>
      <c r="AC6">
        <v>10660</v>
      </c>
      <c r="AD6">
        <v>49861</v>
      </c>
      <c r="AE6">
        <v>83086</v>
      </c>
      <c r="AG6">
        <f t="shared" si="10"/>
        <v>5962676</v>
      </c>
      <c r="AJ6" s="9">
        <v>1985</v>
      </c>
      <c r="AK6" s="1"/>
      <c r="AL6" s="1"/>
      <c r="AM6" s="1"/>
      <c r="AN6" s="1"/>
      <c r="AO6" s="1"/>
      <c r="AP6" s="1"/>
      <c r="AQ6" s="1"/>
      <c r="AR6" s="1"/>
    </row>
    <row r="7" spans="1:44" ht="12.75">
      <c r="A7" s="9">
        <v>1986</v>
      </c>
      <c r="B7">
        <v>0</v>
      </c>
      <c r="C7">
        <v>0</v>
      </c>
      <c r="D7">
        <v>0</v>
      </c>
      <c r="E7">
        <v>0</v>
      </c>
      <c r="F7">
        <v>0</v>
      </c>
      <c r="H7" s="2">
        <f t="shared" si="6"/>
        <v>0</v>
      </c>
      <c r="J7" s="9">
        <v>1986</v>
      </c>
      <c r="K7" s="2"/>
      <c r="L7" s="2"/>
      <c r="M7" s="2"/>
      <c r="N7" s="2"/>
      <c r="P7" s="9">
        <f t="shared" si="2"/>
        <v>1986</v>
      </c>
      <c r="Q7" s="7"/>
      <c r="R7" s="7"/>
      <c r="S7" s="7"/>
      <c r="T7" s="7"/>
      <c r="U7" s="7"/>
      <c r="V7" s="7"/>
      <c r="W7" s="7"/>
      <c r="Z7" s="9">
        <v>1986</v>
      </c>
      <c r="AA7">
        <v>4300604</v>
      </c>
      <c r="AB7">
        <v>1629524</v>
      </c>
      <c r="AC7">
        <v>11188</v>
      </c>
      <c r="AD7">
        <v>54910</v>
      </c>
      <c r="AE7">
        <v>88440</v>
      </c>
      <c r="AG7">
        <f t="shared" si="10"/>
        <v>6084666</v>
      </c>
      <c r="AJ7" s="9">
        <v>1986</v>
      </c>
      <c r="AK7" s="1"/>
      <c r="AL7" s="1"/>
      <c r="AM7" s="1"/>
      <c r="AN7" s="1"/>
      <c r="AO7" s="1"/>
      <c r="AP7" s="1"/>
      <c r="AQ7" s="1"/>
      <c r="AR7" s="1"/>
    </row>
    <row r="8" spans="1:44" ht="12.75">
      <c r="A8" s="9">
        <v>1987</v>
      </c>
      <c r="B8">
        <v>6153</v>
      </c>
      <c r="C8">
        <v>8360</v>
      </c>
      <c r="D8">
        <v>0</v>
      </c>
      <c r="E8">
        <v>0</v>
      </c>
      <c r="F8">
        <v>0</v>
      </c>
      <c r="H8" s="2">
        <f t="shared" si="6"/>
        <v>14513</v>
      </c>
      <c r="J8" s="9">
        <v>1987</v>
      </c>
      <c r="K8" s="2">
        <f t="shared" si="7"/>
        <v>6153</v>
      </c>
      <c r="L8" s="2">
        <f t="shared" si="7"/>
        <v>8360</v>
      </c>
      <c r="M8" s="2">
        <f t="shared" si="1"/>
        <v>0</v>
      </c>
      <c r="N8" s="2">
        <f t="shared" si="8"/>
        <v>14513</v>
      </c>
      <c r="P8" s="9">
        <f t="shared" si="2"/>
        <v>1987</v>
      </c>
      <c r="Q8" s="7">
        <f t="shared" si="9"/>
        <v>42.39647212843657</v>
      </c>
      <c r="R8" s="7">
        <f t="shared" si="3"/>
        <v>57.60352787156343</v>
      </c>
      <c r="S8" s="7">
        <f t="shared" si="3"/>
        <v>0</v>
      </c>
      <c r="T8" s="7">
        <f t="shared" si="3"/>
        <v>0</v>
      </c>
      <c r="U8" s="7">
        <f t="shared" si="3"/>
        <v>0</v>
      </c>
      <c r="V8" s="7">
        <f t="shared" si="3"/>
        <v>0</v>
      </c>
      <c r="W8" s="7">
        <f t="shared" si="3"/>
        <v>100</v>
      </c>
      <c r="Z8" s="9">
        <v>1987</v>
      </c>
      <c r="AA8">
        <v>4383235</v>
      </c>
      <c r="AB8">
        <v>1659852</v>
      </c>
      <c r="AC8">
        <v>11666</v>
      </c>
      <c r="AD8">
        <v>59771</v>
      </c>
      <c r="AE8">
        <v>93958</v>
      </c>
      <c r="AG8">
        <f t="shared" si="10"/>
        <v>6208482</v>
      </c>
      <c r="AJ8" s="9">
        <v>1987</v>
      </c>
      <c r="AK8" s="1">
        <f t="shared" si="11"/>
        <v>140.37577268843674</v>
      </c>
      <c r="AL8" s="1">
        <f t="shared" si="4"/>
        <v>503.6593624009851</v>
      </c>
      <c r="AM8" s="1">
        <f t="shared" si="4"/>
        <v>0</v>
      </c>
      <c r="AN8" s="1">
        <f t="shared" si="4"/>
        <v>0</v>
      </c>
      <c r="AO8" s="1">
        <f t="shared" si="4"/>
        <v>0</v>
      </c>
      <c r="AP8" s="1"/>
      <c r="AQ8" s="1">
        <f t="shared" si="5"/>
        <v>233.76084524365214</v>
      </c>
      <c r="AR8" s="1">
        <f t="shared" si="12"/>
        <v>0</v>
      </c>
    </row>
    <row r="9" spans="1:44" ht="12.75">
      <c r="A9" s="9">
        <v>1988</v>
      </c>
      <c r="B9">
        <v>9845</v>
      </c>
      <c r="C9">
        <v>15713</v>
      </c>
      <c r="D9">
        <v>4</v>
      </c>
      <c r="E9">
        <v>0</v>
      </c>
      <c r="F9">
        <v>192</v>
      </c>
      <c r="H9" s="2">
        <f t="shared" si="6"/>
        <v>25754</v>
      </c>
      <c r="J9" s="9">
        <v>1988</v>
      </c>
      <c r="K9" s="2">
        <f t="shared" si="7"/>
        <v>9845</v>
      </c>
      <c r="L9" s="2">
        <f t="shared" si="7"/>
        <v>15713</v>
      </c>
      <c r="M9" s="2">
        <f t="shared" si="1"/>
        <v>196</v>
      </c>
      <c r="N9" s="2">
        <f t="shared" si="8"/>
        <v>25754</v>
      </c>
      <c r="P9" s="9">
        <f t="shared" si="2"/>
        <v>1988</v>
      </c>
      <c r="Q9" s="7">
        <f t="shared" si="9"/>
        <v>38.22707152287023</v>
      </c>
      <c r="R9" s="7">
        <f t="shared" si="3"/>
        <v>61.01188164945251</v>
      </c>
      <c r="S9" s="7">
        <f t="shared" si="3"/>
        <v>0.015531567911780694</v>
      </c>
      <c r="T9" s="7">
        <f t="shared" si="3"/>
        <v>0</v>
      </c>
      <c r="U9" s="7">
        <f t="shared" si="3"/>
        <v>0.7455152597654734</v>
      </c>
      <c r="V9" s="7">
        <f t="shared" si="3"/>
        <v>0</v>
      </c>
      <c r="W9" s="7">
        <f t="shared" si="3"/>
        <v>100</v>
      </c>
      <c r="Z9" s="9">
        <v>1988</v>
      </c>
      <c r="AA9">
        <v>4450317</v>
      </c>
      <c r="AB9">
        <v>1689293</v>
      </c>
      <c r="AC9">
        <v>12105</v>
      </c>
      <c r="AD9">
        <v>64871</v>
      </c>
      <c r="AE9">
        <v>99577</v>
      </c>
      <c r="AG9">
        <f t="shared" si="10"/>
        <v>6316163</v>
      </c>
      <c r="AJ9" s="9">
        <v>1988</v>
      </c>
      <c r="AK9" s="1">
        <f t="shared" si="11"/>
        <v>221.22019622422403</v>
      </c>
      <c r="AL9" s="1">
        <f t="shared" si="4"/>
        <v>930.1524365518593</v>
      </c>
      <c r="AM9" s="1">
        <f t="shared" si="4"/>
        <v>33.04419661296985</v>
      </c>
      <c r="AN9" s="1">
        <f t="shared" si="4"/>
        <v>0</v>
      </c>
      <c r="AO9" s="1">
        <f t="shared" si="4"/>
        <v>192.8156100304287</v>
      </c>
      <c r="AP9" s="1"/>
      <c r="AQ9" s="1">
        <f t="shared" si="5"/>
        <v>407.7475517968741</v>
      </c>
      <c r="AR9" s="1">
        <f t="shared" si="12"/>
        <v>111.014822744445</v>
      </c>
    </row>
    <row r="10" spans="1:44" ht="12.75">
      <c r="A10" s="9">
        <v>1989</v>
      </c>
      <c r="B10">
        <v>5621</v>
      </c>
      <c r="C10">
        <v>10419</v>
      </c>
      <c r="D10">
        <v>6</v>
      </c>
      <c r="E10">
        <v>3</v>
      </c>
      <c r="F10">
        <v>109</v>
      </c>
      <c r="H10" s="2">
        <f t="shared" si="6"/>
        <v>16158</v>
      </c>
      <c r="J10" s="9">
        <v>1989</v>
      </c>
      <c r="K10" s="2">
        <f t="shared" si="7"/>
        <v>5621</v>
      </c>
      <c r="L10" s="2">
        <f t="shared" si="7"/>
        <v>10419</v>
      </c>
      <c r="M10" s="2">
        <f t="shared" si="1"/>
        <v>118</v>
      </c>
      <c r="N10" s="2">
        <f t="shared" si="8"/>
        <v>16158</v>
      </c>
      <c r="P10" s="9">
        <f t="shared" si="2"/>
        <v>1989</v>
      </c>
      <c r="Q10" s="7">
        <f t="shared" si="9"/>
        <v>34.78772125263028</v>
      </c>
      <c r="R10" s="7">
        <f t="shared" si="3"/>
        <v>64.48199034533977</v>
      </c>
      <c r="S10" s="7">
        <f t="shared" si="3"/>
        <v>0.03713330857779428</v>
      </c>
      <c r="T10" s="7">
        <f t="shared" si="3"/>
        <v>0.01856665428889714</v>
      </c>
      <c r="U10" s="7">
        <f t="shared" si="3"/>
        <v>0.6745884391632628</v>
      </c>
      <c r="V10" s="7">
        <f t="shared" si="3"/>
        <v>0</v>
      </c>
      <c r="W10" s="7">
        <f t="shared" si="3"/>
        <v>100</v>
      </c>
      <c r="Z10" s="9">
        <v>1989</v>
      </c>
      <c r="AA10">
        <v>4506133</v>
      </c>
      <c r="AB10">
        <v>1717577</v>
      </c>
      <c r="AC10">
        <v>12451</v>
      </c>
      <c r="AD10">
        <v>70100</v>
      </c>
      <c r="AE10">
        <v>104828</v>
      </c>
      <c r="AG10">
        <f t="shared" si="10"/>
        <v>6411089</v>
      </c>
      <c r="AJ10" s="9">
        <v>1989</v>
      </c>
      <c r="AK10" s="1">
        <f t="shared" si="11"/>
        <v>124.74110284805175</v>
      </c>
      <c r="AL10" s="1">
        <f t="shared" si="4"/>
        <v>606.6103586622318</v>
      </c>
      <c r="AM10" s="1">
        <f t="shared" si="4"/>
        <v>48.18890048992049</v>
      </c>
      <c r="AN10" s="1">
        <f t="shared" si="4"/>
        <v>4.279600570613409</v>
      </c>
      <c r="AO10" s="1">
        <f t="shared" si="4"/>
        <v>103.97985271110772</v>
      </c>
      <c r="AP10" s="1"/>
      <c r="AQ10" s="1">
        <f t="shared" si="5"/>
        <v>252.03206506726082</v>
      </c>
      <c r="AR10" s="1">
        <f t="shared" si="12"/>
        <v>62.97397253694384</v>
      </c>
    </row>
    <row r="11" spans="1:44" ht="12.75">
      <c r="A11" s="9">
        <v>1990</v>
      </c>
      <c r="B11">
        <v>5927</v>
      </c>
      <c r="C11">
        <v>11734</v>
      </c>
      <c r="D11">
        <v>5</v>
      </c>
      <c r="E11">
        <v>4</v>
      </c>
      <c r="F11">
        <v>77</v>
      </c>
      <c r="H11" s="2">
        <f t="shared" si="6"/>
        <v>17747</v>
      </c>
      <c r="J11" s="9">
        <v>1990</v>
      </c>
      <c r="K11" s="2">
        <f t="shared" si="7"/>
        <v>5927</v>
      </c>
      <c r="L11" s="2">
        <f t="shared" si="7"/>
        <v>11734</v>
      </c>
      <c r="M11" s="2">
        <f t="shared" si="1"/>
        <v>86</v>
      </c>
      <c r="N11" s="2">
        <f t="shared" si="8"/>
        <v>17747</v>
      </c>
      <c r="P11" s="9">
        <f t="shared" si="2"/>
        <v>1990</v>
      </c>
      <c r="Q11" s="7">
        <f t="shared" si="9"/>
        <v>33.3971938919254</v>
      </c>
      <c r="R11" s="7">
        <f t="shared" si="3"/>
        <v>66.11821716346424</v>
      </c>
      <c r="S11" s="7">
        <f t="shared" si="3"/>
        <v>0.028173775849439343</v>
      </c>
      <c r="T11" s="7">
        <f t="shared" si="3"/>
        <v>0.02253902067955147</v>
      </c>
      <c r="U11" s="7">
        <f t="shared" si="3"/>
        <v>0.4338761480813659</v>
      </c>
      <c r="V11" s="7">
        <f t="shared" si="3"/>
        <v>0</v>
      </c>
      <c r="W11" s="7">
        <f t="shared" si="3"/>
        <v>100</v>
      </c>
      <c r="Z11" s="9">
        <v>1990</v>
      </c>
      <c r="AA11">
        <v>4560990</v>
      </c>
      <c r="AB11">
        <v>1747806</v>
      </c>
      <c r="AC11">
        <v>12703</v>
      </c>
      <c r="AD11">
        <v>74986</v>
      </c>
      <c r="AE11">
        <v>110046</v>
      </c>
      <c r="AG11">
        <f t="shared" si="10"/>
        <v>6506531</v>
      </c>
      <c r="AJ11" s="9">
        <v>1990</v>
      </c>
      <c r="AK11" s="1">
        <f t="shared" si="11"/>
        <v>129.94985737745534</v>
      </c>
      <c r="AL11" s="1">
        <f t="shared" si="4"/>
        <v>671.3559742900528</v>
      </c>
      <c r="AM11" s="1">
        <f t="shared" si="4"/>
        <v>39.360780917893415</v>
      </c>
      <c r="AN11" s="1">
        <f t="shared" si="4"/>
        <v>5.334329074760622</v>
      </c>
      <c r="AO11" s="1">
        <f t="shared" si="4"/>
        <v>69.97073950893264</v>
      </c>
      <c r="AP11" s="1"/>
      <c r="AQ11" s="1">
        <f t="shared" si="5"/>
        <v>272.756711679388</v>
      </c>
      <c r="AR11" s="1">
        <f t="shared" si="12"/>
        <v>43.49255316458897</v>
      </c>
    </row>
    <row r="12" spans="1:44" ht="12.75">
      <c r="A12" s="9">
        <v>1991</v>
      </c>
      <c r="B12">
        <v>5477</v>
      </c>
      <c r="C12">
        <v>11071</v>
      </c>
      <c r="D12">
        <v>5</v>
      </c>
      <c r="E12">
        <v>1</v>
      </c>
      <c r="F12">
        <v>73</v>
      </c>
      <c r="H12" s="2">
        <f t="shared" si="6"/>
        <v>16627</v>
      </c>
      <c r="J12" s="9">
        <v>1991</v>
      </c>
      <c r="K12" s="2">
        <f t="shared" si="7"/>
        <v>5477</v>
      </c>
      <c r="L12" s="2">
        <f t="shared" si="7"/>
        <v>11071</v>
      </c>
      <c r="M12" s="2">
        <f t="shared" si="1"/>
        <v>79</v>
      </c>
      <c r="N12" s="2">
        <f t="shared" si="8"/>
        <v>16627</v>
      </c>
      <c r="P12" s="9">
        <f t="shared" si="2"/>
        <v>1991</v>
      </c>
      <c r="Q12" s="7">
        <f t="shared" si="9"/>
        <v>32.94039814759127</v>
      </c>
      <c r="R12" s="7">
        <f t="shared" si="3"/>
        <v>66.58447104107776</v>
      </c>
      <c r="S12" s="7">
        <f t="shared" si="3"/>
        <v>0.03007157033740302</v>
      </c>
      <c r="T12" s="7">
        <f t="shared" si="3"/>
        <v>0.006014314067480603</v>
      </c>
      <c r="U12" s="7">
        <f t="shared" si="3"/>
        <v>0.43904492692608404</v>
      </c>
      <c r="V12" s="7">
        <f t="shared" si="3"/>
        <v>0</v>
      </c>
      <c r="W12" s="7">
        <f t="shared" si="3"/>
        <v>100</v>
      </c>
      <c r="Z12" s="9">
        <v>1991</v>
      </c>
      <c r="AA12">
        <v>4616130</v>
      </c>
      <c r="AB12">
        <v>1792774</v>
      </c>
      <c r="AC12">
        <v>12774</v>
      </c>
      <c r="AD12">
        <v>80958</v>
      </c>
      <c r="AE12">
        <v>118643</v>
      </c>
      <c r="AG12">
        <f t="shared" si="10"/>
        <v>6621279</v>
      </c>
      <c r="AJ12" s="9">
        <v>1991</v>
      </c>
      <c r="AK12" s="1">
        <f t="shared" si="11"/>
        <v>118.64917149213734</v>
      </c>
      <c r="AL12" s="1">
        <f t="shared" si="4"/>
        <v>617.5346139558026</v>
      </c>
      <c r="AM12" s="1">
        <f t="shared" si="4"/>
        <v>39.14200720212932</v>
      </c>
      <c r="AN12" s="1">
        <f t="shared" si="4"/>
        <v>1.2352083796536475</v>
      </c>
      <c r="AO12" s="1">
        <f t="shared" si="4"/>
        <v>61.52912519069814</v>
      </c>
      <c r="AP12" s="1"/>
      <c r="AQ12" s="1">
        <f t="shared" si="5"/>
        <v>251.11462604128295</v>
      </c>
      <c r="AR12" s="1">
        <f t="shared" si="12"/>
        <v>37.19835197174808</v>
      </c>
    </row>
    <row r="13" spans="1:44" ht="12.75">
      <c r="A13" s="9">
        <v>1992</v>
      </c>
      <c r="B13">
        <v>5575</v>
      </c>
      <c r="C13">
        <v>11277</v>
      </c>
      <c r="D13">
        <v>17</v>
      </c>
      <c r="E13">
        <v>14</v>
      </c>
      <c r="F13">
        <v>0</v>
      </c>
      <c r="H13" s="2">
        <f t="shared" si="6"/>
        <v>16883</v>
      </c>
      <c r="J13" s="9">
        <v>1992</v>
      </c>
      <c r="K13" s="2">
        <f t="shared" si="7"/>
        <v>5575</v>
      </c>
      <c r="L13" s="2">
        <f t="shared" si="7"/>
        <v>11277</v>
      </c>
      <c r="M13" s="2">
        <f t="shared" si="1"/>
        <v>31</v>
      </c>
      <c r="N13" s="2">
        <f t="shared" si="8"/>
        <v>16883</v>
      </c>
      <c r="P13" s="9">
        <f t="shared" si="2"/>
        <v>1992</v>
      </c>
      <c r="Q13" s="7">
        <f t="shared" si="9"/>
        <v>33.0213824557247</v>
      </c>
      <c r="R13" s="7">
        <f t="shared" si="3"/>
        <v>66.7950008884677</v>
      </c>
      <c r="S13" s="7">
        <f t="shared" si="3"/>
        <v>0.10069300479772553</v>
      </c>
      <c r="T13" s="7">
        <f t="shared" si="3"/>
        <v>0.0829236510098916</v>
      </c>
      <c r="U13" s="7">
        <f t="shared" si="3"/>
        <v>0</v>
      </c>
      <c r="V13" s="7">
        <f t="shared" si="3"/>
        <v>0</v>
      </c>
      <c r="W13" s="7">
        <f t="shared" si="3"/>
        <v>100</v>
      </c>
      <c r="Z13" s="9">
        <v>1992</v>
      </c>
      <c r="AA13">
        <v>4686847</v>
      </c>
      <c r="AB13">
        <v>1841545</v>
      </c>
      <c r="AC13">
        <v>13230</v>
      </c>
      <c r="AD13">
        <v>88668</v>
      </c>
      <c r="AE13">
        <v>129184</v>
      </c>
      <c r="AG13">
        <f t="shared" si="10"/>
        <v>6759474</v>
      </c>
      <c r="AJ13" s="9">
        <v>1992</v>
      </c>
      <c r="AK13" s="1">
        <f t="shared" si="11"/>
        <v>118.94990384793871</v>
      </c>
      <c r="AL13" s="1">
        <f t="shared" si="4"/>
        <v>612.3662468199257</v>
      </c>
      <c r="AM13" s="1">
        <f t="shared" si="4"/>
        <v>128.49584278155706</v>
      </c>
      <c r="AN13" s="1">
        <f t="shared" si="4"/>
        <v>15.789236252086434</v>
      </c>
      <c r="AO13" s="1">
        <f t="shared" si="4"/>
        <v>0</v>
      </c>
      <c r="AP13" s="1"/>
      <c r="AQ13" s="1">
        <f t="shared" si="5"/>
        <v>249.76795531723326</v>
      </c>
      <c r="AR13" s="1">
        <f t="shared" si="12"/>
        <v>13.415151331561955</v>
      </c>
    </row>
    <row r="14" spans="1:44" ht="12.75">
      <c r="A14" s="9">
        <v>1993</v>
      </c>
      <c r="B14">
        <v>4894</v>
      </c>
      <c r="C14">
        <v>10383</v>
      </c>
      <c r="D14">
        <v>11</v>
      </c>
      <c r="E14">
        <v>14</v>
      </c>
      <c r="F14">
        <v>98</v>
      </c>
      <c r="H14" s="2">
        <f t="shared" si="6"/>
        <v>15400</v>
      </c>
      <c r="J14" s="9">
        <v>1993</v>
      </c>
      <c r="K14" s="2">
        <f t="shared" si="7"/>
        <v>4894</v>
      </c>
      <c r="L14" s="2">
        <f t="shared" si="7"/>
        <v>10383</v>
      </c>
      <c r="M14" s="2">
        <f t="shared" si="1"/>
        <v>123</v>
      </c>
      <c r="N14" s="2">
        <f t="shared" si="8"/>
        <v>15400</v>
      </c>
      <c r="P14" s="9">
        <f t="shared" si="2"/>
        <v>1993</v>
      </c>
      <c r="Q14" s="7">
        <f t="shared" si="9"/>
        <v>31.77922077922078</v>
      </c>
      <c r="R14" s="7">
        <f t="shared" si="3"/>
        <v>67.42207792207793</v>
      </c>
      <c r="S14" s="7">
        <f t="shared" si="3"/>
        <v>0.07142857142857142</v>
      </c>
      <c r="T14" s="7">
        <f t="shared" si="3"/>
        <v>0.09090909090909091</v>
      </c>
      <c r="U14" s="7">
        <f t="shared" si="3"/>
        <v>0.6363636363636364</v>
      </c>
      <c r="V14" s="7">
        <f t="shared" si="3"/>
        <v>0</v>
      </c>
      <c r="W14" s="7">
        <f t="shared" si="3"/>
        <v>100</v>
      </c>
      <c r="Z14" s="9">
        <v>1993</v>
      </c>
      <c r="AA14">
        <v>4751956</v>
      </c>
      <c r="AB14">
        <v>1893269</v>
      </c>
      <c r="AC14">
        <v>13619</v>
      </c>
      <c r="AD14">
        <v>96669</v>
      </c>
      <c r="AE14">
        <v>138579</v>
      </c>
      <c r="AG14">
        <f t="shared" si="10"/>
        <v>6894092</v>
      </c>
      <c r="AJ14" s="9">
        <v>1993</v>
      </c>
      <c r="AK14" s="1">
        <f t="shared" si="11"/>
        <v>102.989169091633</v>
      </c>
      <c r="AL14" s="1">
        <f t="shared" si="4"/>
        <v>548.4165218994237</v>
      </c>
      <c r="AM14" s="1">
        <f t="shared" si="4"/>
        <v>80.76951318011601</v>
      </c>
      <c r="AN14" s="1">
        <f t="shared" si="4"/>
        <v>14.482409045298906</v>
      </c>
      <c r="AO14" s="1">
        <f t="shared" si="4"/>
        <v>70.71778552305905</v>
      </c>
      <c r="AP14" s="1"/>
      <c r="AQ14" s="1">
        <f t="shared" si="5"/>
        <v>223.3796705933138</v>
      </c>
      <c r="AR14" s="1">
        <f t="shared" si="12"/>
        <v>49.42398952050694</v>
      </c>
    </row>
    <row r="15" spans="1:44" ht="12.75">
      <c r="A15" s="9">
        <v>1994</v>
      </c>
      <c r="B15">
        <v>5019</v>
      </c>
      <c r="C15">
        <v>10173</v>
      </c>
      <c r="D15">
        <v>15</v>
      </c>
      <c r="E15">
        <v>9</v>
      </c>
      <c r="F15">
        <v>132</v>
      </c>
      <c r="H15" s="2">
        <f t="shared" si="6"/>
        <v>15348</v>
      </c>
      <c r="J15" s="9">
        <v>1994</v>
      </c>
      <c r="K15" s="2">
        <f t="shared" si="7"/>
        <v>5019</v>
      </c>
      <c r="L15" s="2">
        <f t="shared" si="7"/>
        <v>10173</v>
      </c>
      <c r="M15" s="2">
        <f t="shared" si="1"/>
        <v>156</v>
      </c>
      <c r="N15" s="2">
        <f t="shared" si="8"/>
        <v>15348</v>
      </c>
      <c r="P15" s="9">
        <f t="shared" si="2"/>
        <v>1994</v>
      </c>
      <c r="Q15" s="7">
        <f t="shared" si="9"/>
        <v>32.701329163408914</v>
      </c>
      <c r="R15" s="7">
        <f t="shared" si="3"/>
        <v>66.28225175918686</v>
      </c>
      <c r="S15" s="7">
        <f t="shared" si="3"/>
        <v>0.0977326035965598</v>
      </c>
      <c r="T15" s="7">
        <f t="shared" si="3"/>
        <v>0.05863956215793589</v>
      </c>
      <c r="U15" s="7">
        <f t="shared" si="3"/>
        <v>0.8600469116497262</v>
      </c>
      <c r="V15" s="7">
        <f t="shared" si="3"/>
        <v>0</v>
      </c>
      <c r="W15" s="7">
        <f t="shared" si="3"/>
        <v>100</v>
      </c>
      <c r="Z15" s="9">
        <v>1994</v>
      </c>
      <c r="AA15">
        <v>4826583</v>
      </c>
      <c r="AB15">
        <v>1949003</v>
      </c>
      <c r="AC15">
        <v>13948</v>
      </c>
      <c r="AD15">
        <v>106102</v>
      </c>
      <c r="AE15">
        <v>150264</v>
      </c>
      <c r="AG15">
        <f t="shared" si="10"/>
        <v>7045900</v>
      </c>
      <c r="AJ15" s="9">
        <v>1994</v>
      </c>
      <c r="AK15" s="1">
        <f t="shared" si="11"/>
        <v>103.98660916014497</v>
      </c>
      <c r="AL15" s="1">
        <f t="shared" si="4"/>
        <v>521.9591760505243</v>
      </c>
      <c r="AM15" s="1">
        <f t="shared" si="4"/>
        <v>107.54229997132205</v>
      </c>
      <c r="AN15" s="1">
        <f t="shared" si="4"/>
        <v>8.482403724717724</v>
      </c>
      <c r="AO15" s="1">
        <f t="shared" si="4"/>
        <v>87.8453921098866</v>
      </c>
      <c r="AP15" s="1"/>
      <c r="AQ15" s="1">
        <f t="shared" si="5"/>
        <v>217.82880824309171</v>
      </c>
      <c r="AR15" s="1">
        <f t="shared" si="12"/>
        <v>57.71066241482128</v>
      </c>
    </row>
    <row r="16" spans="1:44" ht="12.75">
      <c r="A16" s="9">
        <v>1995</v>
      </c>
      <c r="B16">
        <v>4935</v>
      </c>
      <c r="C16">
        <v>10352</v>
      </c>
      <c r="D16">
        <v>30</v>
      </c>
      <c r="E16">
        <v>4</v>
      </c>
      <c r="F16">
        <v>85</v>
      </c>
      <c r="H16" s="2">
        <f t="shared" si="6"/>
        <v>15406</v>
      </c>
      <c r="J16" s="9">
        <v>1995</v>
      </c>
      <c r="K16" s="2">
        <f t="shared" si="7"/>
        <v>4935</v>
      </c>
      <c r="L16" s="2">
        <f t="shared" si="7"/>
        <v>10352</v>
      </c>
      <c r="M16" s="2">
        <f t="shared" si="1"/>
        <v>119</v>
      </c>
      <c r="N16" s="2">
        <f t="shared" si="8"/>
        <v>15406</v>
      </c>
      <c r="P16" s="9">
        <f t="shared" si="2"/>
        <v>1995</v>
      </c>
      <c r="Q16" s="7">
        <f t="shared" si="9"/>
        <v>32.03297416590939</v>
      </c>
      <c r="R16" s="7">
        <f t="shared" si="3"/>
        <v>67.1945995066857</v>
      </c>
      <c r="S16" s="7">
        <f t="shared" si="3"/>
        <v>0.19472932623653122</v>
      </c>
      <c r="T16" s="7">
        <f t="shared" si="3"/>
        <v>0.025963910164870832</v>
      </c>
      <c r="U16" s="7">
        <f t="shared" si="3"/>
        <v>0.5517330910035052</v>
      </c>
      <c r="V16" s="7">
        <f t="shared" si="3"/>
        <v>0</v>
      </c>
      <c r="W16" s="7">
        <f t="shared" si="3"/>
        <v>100</v>
      </c>
      <c r="Z16" s="9">
        <v>1995</v>
      </c>
      <c r="AA16">
        <v>4893111</v>
      </c>
      <c r="AB16">
        <v>1998061</v>
      </c>
      <c r="AC16">
        <v>14369</v>
      </c>
      <c r="AD16">
        <v>115588</v>
      </c>
      <c r="AE16">
        <v>167409</v>
      </c>
      <c r="AG16">
        <f t="shared" si="10"/>
        <v>7188538</v>
      </c>
      <c r="AJ16" s="9">
        <v>1995</v>
      </c>
      <c r="AK16" s="1">
        <f t="shared" si="11"/>
        <v>100.85608113120672</v>
      </c>
      <c r="AL16" s="1">
        <f t="shared" si="4"/>
        <v>518.1023001800246</v>
      </c>
      <c r="AM16" s="1">
        <f t="shared" si="4"/>
        <v>208.7827962975851</v>
      </c>
      <c r="AN16" s="1">
        <f t="shared" si="4"/>
        <v>3.460566840848531</v>
      </c>
      <c r="AO16" s="1">
        <f t="shared" si="4"/>
        <v>50.77385325759069</v>
      </c>
      <c r="AP16" s="1"/>
      <c r="AQ16" s="1">
        <f t="shared" si="5"/>
        <v>214.31339724433533</v>
      </c>
      <c r="AR16" s="1">
        <f t="shared" si="12"/>
        <v>40.01802492551267</v>
      </c>
    </row>
    <row r="17" spans="1:44" ht="12.75">
      <c r="A17" s="9">
        <v>1996</v>
      </c>
      <c r="B17">
        <v>5059</v>
      </c>
      <c r="C17">
        <v>9824</v>
      </c>
      <c r="D17">
        <v>22</v>
      </c>
      <c r="E17">
        <v>13</v>
      </c>
      <c r="F17">
        <v>106</v>
      </c>
      <c r="H17" s="2">
        <f t="shared" si="6"/>
        <v>15024</v>
      </c>
      <c r="J17" s="9">
        <v>1996</v>
      </c>
      <c r="K17" s="2">
        <f t="shared" si="7"/>
        <v>5059</v>
      </c>
      <c r="L17" s="2">
        <f t="shared" si="7"/>
        <v>9824</v>
      </c>
      <c r="M17" s="2">
        <f t="shared" si="1"/>
        <v>141</v>
      </c>
      <c r="N17" s="2">
        <f t="shared" si="8"/>
        <v>15024</v>
      </c>
      <c r="P17" s="9">
        <f t="shared" si="2"/>
        <v>1996</v>
      </c>
      <c r="Q17" s="7">
        <f t="shared" si="9"/>
        <v>33.67279020234292</v>
      </c>
      <c r="R17" s="7">
        <f t="shared" si="3"/>
        <v>65.38871139510117</v>
      </c>
      <c r="S17" s="7">
        <f t="shared" si="3"/>
        <v>0.14643237486687966</v>
      </c>
      <c r="T17" s="7">
        <f t="shared" si="3"/>
        <v>0.08652822151224707</v>
      </c>
      <c r="U17" s="7">
        <f t="shared" si="3"/>
        <v>0.7055378061767839</v>
      </c>
      <c r="V17" s="7">
        <f t="shared" si="3"/>
        <v>0</v>
      </c>
      <c r="W17" s="7">
        <f t="shared" si="3"/>
        <v>100</v>
      </c>
      <c r="Z17" s="9">
        <v>1996</v>
      </c>
      <c r="AA17">
        <v>4958266</v>
      </c>
      <c r="AB17">
        <v>2050148</v>
      </c>
      <c r="AC17">
        <v>14780</v>
      </c>
      <c r="AD17">
        <v>124367</v>
      </c>
      <c r="AE17">
        <v>184664</v>
      </c>
      <c r="AG17">
        <f t="shared" si="10"/>
        <v>7332225</v>
      </c>
      <c r="AJ17" s="9">
        <v>1996</v>
      </c>
      <c r="AK17" s="1">
        <f t="shared" si="11"/>
        <v>102.03163767333176</v>
      </c>
      <c r="AL17" s="1">
        <f t="shared" si="4"/>
        <v>479.1849173815744</v>
      </c>
      <c r="AM17" s="1">
        <f t="shared" si="4"/>
        <v>148.84979702300404</v>
      </c>
      <c r="AN17" s="1">
        <f t="shared" si="4"/>
        <v>10.452933656034157</v>
      </c>
      <c r="AO17" s="1">
        <f t="shared" si="4"/>
        <v>57.4015509249231</v>
      </c>
      <c r="AP17" s="1"/>
      <c r="AQ17" s="1">
        <f t="shared" si="5"/>
        <v>204.9036956721868</v>
      </c>
      <c r="AR17" s="1">
        <f t="shared" si="12"/>
        <v>43.543919138015696</v>
      </c>
    </row>
    <row r="18" spans="1:44" ht="12.75">
      <c r="A18" s="9">
        <v>1997</v>
      </c>
      <c r="B18">
        <v>0</v>
      </c>
      <c r="C18">
        <v>0</v>
      </c>
      <c r="D18">
        <v>0</v>
      </c>
      <c r="E18">
        <v>0</v>
      </c>
      <c r="F18">
        <v>0</v>
      </c>
      <c r="H18" s="2"/>
      <c r="J18" s="9">
        <v>1997</v>
      </c>
      <c r="K18" s="2"/>
      <c r="L18" s="2"/>
      <c r="M18" s="2"/>
      <c r="N18" s="2"/>
      <c r="P18" s="9">
        <f t="shared" si="2"/>
        <v>1997</v>
      </c>
      <c r="Q18" s="7"/>
      <c r="R18" s="7"/>
      <c r="S18" s="7"/>
      <c r="T18" s="7"/>
      <c r="U18" s="7"/>
      <c r="V18" s="7"/>
      <c r="W18" s="7"/>
      <c r="Z18" s="9">
        <v>1997</v>
      </c>
      <c r="AA18">
        <v>5026613</v>
      </c>
      <c r="AB18">
        <v>2105477</v>
      </c>
      <c r="AC18">
        <v>14990</v>
      </c>
      <c r="AD18">
        <v>133823</v>
      </c>
      <c r="AE18">
        <v>205191</v>
      </c>
      <c r="AG18">
        <f t="shared" si="10"/>
        <v>7486094</v>
      </c>
      <c r="AJ18" s="9">
        <v>1997</v>
      </c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9">
        <v>1998</v>
      </c>
      <c r="B19">
        <v>5277</v>
      </c>
      <c r="C19">
        <v>9955</v>
      </c>
      <c r="D19">
        <v>29</v>
      </c>
      <c r="E19">
        <v>11</v>
      </c>
      <c r="F19">
        <v>134</v>
      </c>
      <c r="H19" s="2">
        <f t="shared" si="6"/>
        <v>15406</v>
      </c>
      <c r="J19" s="9">
        <v>1998</v>
      </c>
      <c r="K19" s="2">
        <f t="shared" si="7"/>
        <v>5277</v>
      </c>
      <c r="L19" s="2">
        <f t="shared" si="7"/>
        <v>9955</v>
      </c>
      <c r="M19" s="2">
        <f t="shared" si="1"/>
        <v>174</v>
      </c>
      <c r="N19" s="2">
        <f t="shared" si="8"/>
        <v>15406</v>
      </c>
      <c r="P19" s="9">
        <f t="shared" si="2"/>
        <v>1998</v>
      </c>
      <c r="Q19" s="7">
        <f t="shared" si="9"/>
        <v>34.25288848500585</v>
      </c>
      <c r="R19" s="7">
        <f t="shared" si="3"/>
        <v>64.61768142282229</v>
      </c>
      <c r="S19" s="7">
        <f t="shared" si="3"/>
        <v>0.18823834869531353</v>
      </c>
      <c r="T19" s="7">
        <f t="shared" si="3"/>
        <v>0.07140075295339478</v>
      </c>
      <c r="U19" s="7">
        <f t="shared" si="3"/>
        <v>0.8697909905231729</v>
      </c>
      <c r="V19" s="7">
        <f t="shared" si="3"/>
        <v>0</v>
      </c>
      <c r="W19" s="7">
        <f t="shared" si="3"/>
        <v>100</v>
      </c>
      <c r="Z19" s="9">
        <v>1998</v>
      </c>
      <c r="AA19">
        <v>5095472</v>
      </c>
      <c r="AB19">
        <v>2160382</v>
      </c>
      <c r="AC19">
        <v>15527</v>
      </c>
      <c r="AD19">
        <v>144229</v>
      </c>
      <c r="AE19">
        <v>220912</v>
      </c>
      <c r="AG19">
        <f t="shared" si="10"/>
        <v>7636522</v>
      </c>
      <c r="AJ19" s="9">
        <v>1998</v>
      </c>
      <c r="AK19" s="1">
        <f t="shared" si="11"/>
        <v>103.5625355217338</v>
      </c>
      <c r="AL19" s="1">
        <f t="shared" si="4"/>
        <v>460.7981366258375</v>
      </c>
      <c r="AM19" s="1">
        <f t="shared" si="4"/>
        <v>186.7714304115412</v>
      </c>
      <c r="AN19" s="1">
        <f t="shared" si="4"/>
        <v>7.626760221592051</v>
      </c>
      <c r="AO19" s="1">
        <f t="shared" si="4"/>
        <v>60.657637430288986</v>
      </c>
      <c r="AP19" s="1"/>
      <c r="AQ19" s="1">
        <f t="shared" si="5"/>
        <v>201.74105437003914</v>
      </c>
      <c r="AR19" s="1">
        <f t="shared" si="12"/>
        <v>45.7091218594681</v>
      </c>
    </row>
    <row r="20" spans="1:44" ht="12.75">
      <c r="A20" s="9">
        <v>1999</v>
      </c>
      <c r="B20">
        <v>6859</v>
      </c>
      <c r="C20">
        <v>13465</v>
      </c>
      <c r="D20">
        <v>15</v>
      </c>
      <c r="E20">
        <v>20</v>
      </c>
      <c r="F20">
        <v>249</v>
      </c>
      <c r="H20" s="2">
        <f t="shared" si="6"/>
        <v>20608</v>
      </c>
      <c r="J20" s="9">
        <v>1999</v>
      </c>
      <c r="K20" s="2">
        <f t="shared" si="7"/>
        <v>6859</v>
      </c>
      <c r="L20" s="2">
        <f t="shared" si="7"/>
        <v>13465</v>
      </c>
      <c r="M20" s="2">
        <f t="shared" si="1"/>
        <v>284</v>
      </c>
      <c r="N20" s="2">
        <f t="shared" si="8"/>
        <v>20608</v>
      </c>
      <c r="P20" s="9">
        <f t="shared" si="2"/>
        <v>1999</v>
      </c>
      <c r="Q20" s="7">
        <f t="shared" si="9"/>
        <v>33.28319099378882</v>
      </c>
      <c r="R20" s="7">
        <f aca="true" t="shared" si="13" ref="R20:W21">(C20/$H20)*100</f>
        <v>65.33870341614907</v>
      </c>
      <c r="S20" s="7">
        <f t="shared" si="13"/>
        <v>0.07278726708074534</v>
      </c>
      <c r="T20" s="7">
        <f t="shared" si="13"/>
        <v>0.09704968944099379</v>
      </c>
      <c r="U20" s="7">
        <f t="shared" si="13"/>
        <v>1.2082686335403725</v>
      </c>
      <c r="V20" s="7">
        <f t="shared" si="13"/>
        <v>0</v>
      </c>
      <c r="W20" s="7">
        <f t="shared" si="13"/>
        <v>100</v>
      </c>
      <c r="Z20" s="9">
        <v>1999</v>
      </c>
      <c r="AA20">
        <v>5162469</v>
      </c>
      <c r="AB20">
        <v>2215435</v>
      </c>
      <c r="AC20">
        <v>15867</v>
      </c>
      <c r="AD20">
        <v>154903</v>
      </c>
      <c r="AE20">
        <v>239566</v>
      </c>
      <c r="AG20">
        <f t="shared" si="10"/>
        <v>7788240</v>
      </c>
      <c r="AJ20" s="9">
        <v>1999</v>
      </c>
      <c r="AK20" s="1">
        <f t="shared" si="11"/>
        <v>132.86278329225803</v>
      </c>
      <c r="AL20" s="1">
        <f>(C20/AB20)*100000</f>
        <v>607.7813160846515</v>
      </c>
      <c r="AM20" s="1">
        <f>(D20/AC20)*100000</f>
        <v>94.53582907922103</v>
      </c>
      <c r="AN20" s="1">
        <f>(E20/AD20)*100000</f>
        <v>12.911305784910557</v>
      </c>
      <c r="AO20" s="1">
        <f>(F20/AE20)*100000</f>
        <v>103.93795446766235</v>
      </c>
      <c r="AP20" s="1"/>
      <c r="AQ20" s="1">
        <f t="shared" si="5"/>
        <v>264.60406972563766</v>
      </c>
      <c r="AR20" s="1">
        <f t="shared" si="12"/>
        <v>69.21157295484676</v>
      </c>
    </row>
    <row r="21" spans="1:23" s="4" customFormat="1" ht="12.75">
      <c r="A21" s="13" t="s">
        <v>13</v>
      </c>
      <c r="B21" s="21">
        <f aca="true" t="shared" si="14" ref="B21:G21">SUM(B4:B20)</f>
        <v>80699</v>
      </c>
      <c r="C21" s="21">
        <f t="shared" si="14"/>
        <v>144559</v>
      </c>
      <c r="D21" s="21">
        <f t="shared" si="14"/>
        <v>159</v>
      </c>
      <c r="E21" s="21">
        <f t="shared" si="14"/>
        <v>93</v>
      </c>
      <c r="F21" s="21">
        <f t="shared" si="14"/>
        <v>1261</v>
      </c>
      <c r="G21" s="21">
        <f t="shared" si="14"/>
        <v>0</v>
      </c>
      <c r="H21" s="21">
        <f t="shared" si="6"/>
        <v>226771</v>
      </c>
      <c r="J21" s="13" t="s">
        <v>13</v>
      </c>
      <c r="K21" s="21">
        <f t="shared" si="7"/>
        <v>80699</v>
      </c>
      <c r="L21" s="21">
        <f t="shared" si="7"/>
        <v>144559</v>
      </c>
      <c r="M21" s="21">
        <f t="shared" si="1"/>
        <v>1513</v>
      </c>
      <c r="N21" s="21">
        <f t="shared" si="8"/>
        <v>226771</v>
      </c>
      <c r="P21" s="13" t="str">
        <f t="shared" si="2"/>
        <v>Total</v>
      </c>
      <c r="Q21" s="22">
        <f t="shared" si="9"/>
        <v>35.58611991833171</v>
      </c>
      <c r="R21" s="22">
        <f t="shared" si="13"/>
        <v>63.74668718663321</v>
      </c>
      <c r="S21" s="22">
        <f t="shared" si="13"/>
        <v>0.0701147854002496</v>
      </c>
      <c r="T21" s="22">
        <f t="shared" si="13"/>
        <v>0.041010534856749756</v>
      </c>
      <c r="U21" s="22">
        <f t="shared" si="13"/>
        <v>0.5560675747780801</v>
      </c>
      <c r="V21" s="22">
        <f t="shared" si="13"/>
        <v>0</v>
      </c>
      <c r="W21" s="22">
        <f t="shared" si="13"/>
        <v>100</v>
      </c>
    </row>
    <row r="23" spans="1:44" ht="12.75">
      <c r="A23" s="32" t="str">
        <f>CONCATENATE("New Admissions, All Races: ",$A$1)</f>
        <v>New Admissions, All Races: GEORGIA</v>
      </c>
      <c r="B23" s="32"/>
      <c r="C23" s="32"/>
      <c r="D23" s="32"/>
      <c r="E23" s="32"/>
      <c r="F23" s="32"/>
      <c r="G23" s="32"/>
      <c r="H23" s="32"/>
      <c r="J23" s="32" t="str">
        <f>CONCATENATE("New Admissions, BW + Balance: ",$A$1)</f>
        <v>New Admissions, BW + Balance: GEORGIA</v>
      </c>
      <c r="K23" s="32"/>
      <c r="L23" s="32"/>
      <c r="M23" s="32"/>
      <c r="N23" s="32"/>
      <c r="P23" s="32" t="str">
        <f>CONCATENATE("Percent of Total, New Admissions by Race: ",$A$1)</f>
        <v>Percent of Total, New Admissions by Race: GEORGIA</v>
      </c>
      <c r="Q23" s="32"/>
      <c r="R23" s="32"/>
      <c r="S23" s="32"/>
      <c r="T23" s="32"/>
      <c r="U23" s="32"/>
      <c r="V23" s="32"/>
      <c r="W23" s="32"/>
      <c r="Z23" s="32" t="str">
        <f>CONCATENATE("Total Population, By Race: ",$A$1)</f>
        <v>Total Population, By Race: GEORGIA</v>
      </c>
      <c r="AA23" s="32"/>
      <c r="AB23" s="32"/>
      <c r="AC23" s="32"/>
      <c r="AD23" s="32"/>
      <c r="AE23" s="32"/>
      <c r="AF23" s="32"/>
      <c r="AG23" s="32"/>
      <c r="AJ23" s="32" t="str">
        <f>CONCATENATE("New Admissions, per 100,000 By Race: ",$A$1)</f>
        <v>New Admissions, per 100,000 By Race: GEORGIA</v>
      </c>
      <c r="AK23" s="32"/>
      <c r="AL23" s="32"/>
      <c r="AM23" s="32"/>
      <c r="AN23" s="32"/>
      <c r="AO23" s="32"/>
      <c r="AP23" s="32"/>
      <c r="AQ23" s="32"/>
      <c r="AR23" s="32"/>
    </row>
    <row r="24" spans="1:44" s="4" customFormat="1" ht="12.75">
      <c r="A24" s="20" t="s">
        <v>25</v>
      </c>
      <c r="B24" s="19" t="s">
        <v>11</v>
      </c>
      <c r="C24" s="19" t="s">
        <v>12</v>
      </c>
      <c r="D24" s="19" t="s">
        <v>28</v>
      </c>
      <c r="E24" s="19" t="s">
        <v>29</v>
      </c>
      <c r="F24" s="19" t="s">
        <v>26</v>
      </c>
      <c r="G24" s="19" t="s">
        <v>27</v>
      </c>
      <c r="H24" s="19" t="s">
        <v>13</v>
      </c>
      <c r="J24" s="20" t="s">
        <v>25</v>
      </c>
      <c r="K24" s="19" t="s">
        <v>11</v>
      </c>
      <c r="L24" s="19" t="s">
        <v>12</v>
      </c>
      <c r="M24" s="19" t="s">
        <v>30</v>
      </c>
      <c r="N24" s="19" t="s">
        <v>13</v>
      </c>
      <c r="P24" s="20" t="str">
        <f>A24</f>
        <v>Year</v>
      </c>
      <c r="Q24" s="19" t="str">
        <f aca="true" t="shared" si="15" ref="Q24:W24">B24</f>
        <v>White, NH</v>
      </c>
      <c r="R24" s="19" t="str">
        <f t="shared" si="15"/>
        <v>Black, NH</v>
      </c>
      <c r="S24" s="19" t="str">
        <f t="shared" si="15"/>
        <v>Amerind, NH</v>
      </c>
      <c r="T24" s="19" t="str">
        <f t="shared" si="15"/>
        <v>Asian/PI, NH</v>
      </c>
      <c r="U24" s="19" t="str">
        <f t="shared" si="15"/>
        <v>Hisp, All</v>
      </c>
      <c r="V24" s="19" t="str">
        <f t="shared" si="15"/>
        <v>Race/Hisp NK</v>
      </c>
      <c r="W24" s="19" t="str">
        <f t="shared" si="15"/>
        <v>Total</v>
      </c>
      <c r="Z24" s="20" t="s">
        <v>25</v>
      </c>
      <c r="AA24" s="19" t="s">
        <v>11</v>
      </c>
      <c r="AB24" s="19" t="s">
        <v>12</v>
      </c>
      <c r="AC24" s="19" t="s">
        <v>28</v>
      </c>
      <c r="AD24" s="19" t="s">
        <v>29</v>
      </c>
      <c r="AE24" s="19" t="s">
        <v>26</v>
      </c>
      <c r="AF24" s="19" t="s">
        <v>27</v>
      </c>
      <c r="AG24" s="19" t="s">
        <v>13</v>
      </c>
      <c r="AJ24" s="20" t="s">
        <v>25</v>
      </c>
      <c r="AK24" s="19" t="s">
        <v>11</v>
      </c>
      <c r="AL24" s="19" t="s">
        <v>12</v>
      </c>
      <c r="AM24" s="19" t="s">
        <v>28</v>
      </c>
      <c r="AN24" s="19" t="s">
        <v>29</v>
      </c>
      <c r="AO24" s="19" t="s">
        <v>26</v>
      </c>
      <c r="AP24" s="19" t="s">
        <v>27</v>
      </c>
      <c r="AQ24" s="19" t="s">
        <v>13</v>
      </c>
      <c r="AR24" s="19" t="s">
        <v>30</v>
      </c>
    </row>
    <row r="25" spans="1:44" ht="12.75">
      <c r="A25" s="9">
        <v>1983</v>
      </c>
      <c r="B25">
        <v>2675</v>
      </c>
      <c r="C25">
        <v>3382</v>
      </c>
      <c r="D25">
        <v>0</v>
      </c>
      <c r="E25">
        <v>0</v>
      </c>
      <c r="F25">
        <v>0</v>
      </c>
      <c r="H25" s="2">
        <f>SUM(B25:G25)</f>
        <v>6057</v>
      </c>
      <c r="J25" s="9">
        <v>1983</v>
      </c>
      <c r="K25" s="2">
        <f>B25</f>
        <v>2675</v>
      </c>
      <c r="L25" s="2">
        <f>C25</f>
        <v>3382</v>
      </c>
      <c r="M25" s="2">
        <f aca="true" t="shared" si="16" ref="M25:M42">N25-K25-L25</f>
        <v>0</v>
      </c>
      <c r="N25" s="2">
        <f>H25</f>
        <v>6057</v>
      </c>
      <c r="P25" s="9">
        <f aca="true" t="shared" si="17" ref="P25:P42">A25</f>
        <v>1983</v>
      </c>
      <c r="Q25" s="2">
        <f>(B25/$H25)*100</f>
        <v>44.16377744758131</v>
      </c>
      <c r="R25" s="2">
        <f aca="true" t="shared" si="18" ref="R25:W40">(C25/$H25)*100</f>
        <v>55.83622255241869</v>
      </c>
      <c r="S25" s="1">
        <f t="shared" si="18"/>
        <v>0</v>
      </c>
      <c r="T25" s="1">
        <f t="shared" si="18"/>
        <v>0</v>
      </c>
      <c r="U25" s="1">
        <f t="shared" si="18"/>
        <v>0</v>
      </c>
      <c r="V25" s="1">
        <f t="shared" si="18"/>
        <v>0</v>
      </c>
      <c r="W25" s="2">
        <f t="shared" si="18"/>
        <v>100</v>
      </c>
      <c r="Z25" s="9">
        <v>1983</v>
      </c>
      <c r="AA25" s="2">
        <f>AA4</f>
        <v>4066112</v>
      </c>
      <c r="AB25" s="2">
        <f>AB4</f>
        <v>1539592</v>
      </c>
      <c r="AC25" s="1">
        <f>AC4</f>
        <v>9408</v>
      </c>
      <c r="AD25" s="1">
        <f>AD4</f>
        <v>40057</v>
      </c>
      <c r="AE25" s="1">
        <f>AE4</f>
        <v>73095</v>
      </c>
      <c r="AF25" s="1"/>
      <c r="AG25" s="2">
        <f aca="true" t="shared" si="19" ref="AG25:AG41">AG4</f>
        <v>5728264</v>
      </c>
      <c r="AJ25" s="9">
        <v>1983</v>
      </c>
      <c r="AK25" s="1">
        <f>(B25/AA25)*100000</f>
        <v>65.78766153022839</v>
      </c>
      <c r="AL25" s="1">
        <f aca="true" t="shared" si="20" ref="AL25:AL40">(C25/AB25)*100000</f>
        <v>219.6685875218889</v>
      </c>
      <c r="AM25" s="1">
        <f aca="true" t="shared" si="21" ref="AM25:AM40">(D25/AC25)*100000</f>
        <v>0</v>
      </c>
      <c r="AN25" s="1">
        <f aca="true" t="shared" si="22" ref="AN25:AN40">(E25/AD25)*100000</f>
        <v>0</v>
      </c>
      <c r="AO25" s="1">
        <f aca="true" t="shared" si="23" ref="AO25:AO40">(F25/AE25)*100000</f>
        <v>0</v>
      </c>
      <c r="AP25" s="1"/>
      <c r="AQ25" s="1">
        <f aca="true" t="shared" si="24" ref="AQ25:AQ41">(H25/AG25)*100000</f>
        <v>105.73884164556662</v>
      </c>
      <c r="AR25" s="1">
        <f>(SUM(D25:F25)/SUM(AC25:AE25))*100000</f>
        <v>0</v>
      </c>
    </row>
    <row r="26" spans="1:44" ht="12.75">
      <c r="A26" s="9">
        <v>1984</v>
      </c>
      <c r="B26">
        <v>3022</v>
      </c>
      <c r="C26">
        <v>3818</v>
      </c>
      <c r="D26">
        <v>0</v>
      </c>
      <c r="E26">
        <v>0</v>
      </c>
      <c r="F26">
        <v>2</v>
      </c>
      <c r="H26" s="2">
        <f aca="true" t="shared" si="25" ref="H26:H42">SUM(B26:G26)</f>
        <v>6842</v>
      </c>
      <c r="J26" s="9">
        <v>1984</v>
      </c>
      <c r="K26" s="2">
        <f aca="true" t="shared" si="26" ref="K26:L41">B26</f>
        <v>3022</v>
      </c>
      <c r="L26" s="2">
        <f t="shared" si="26"/>
        <v>3818</v>
      </c>
      <c r="M26" s="2">
        <f t="shared" si="16"/>
        <v>2</v>
      </c>
      <c r="N26" s="2">
        <f aca="true" t="shared" si="27" ref="N26:N41">H26</f>
        <v>6842</v>
      </c>
      <c r="P26" s="9">
        <f t="shared" si="17"/>
        <v>1984</v>
      </c>
      <c r="Q26" s="2">
        <f aca="true" t="shared" si="28" ref="Q26:Q42">(B26/$H26)*100</f>
        <v>44.16837182110494</v>
      </c>
      <c r="R26" s="2">
        <f t="shared" si="18"/>
        <v>55.80239695995323</v>
      </c>
      <c r="S26" s="1">
        <f t="shared" si="18"/>
        <v>0</v>
      </c>
      <c r="T26" s="1">
        <f t="shared" si="18"/>
        <v>0</v>
      </c>
      <c r="U26" s="1">
        <f t="shared" si="18"/>
        <v>0.029231218941829874</v>
      </c>
      <c r="V26" s="1">
        <f t="shared" si="18"/>
        <v>0</v>
      </c>
      <c r="W26" s="2">
        <f t="shared" si="18"/>
        <v>100</v>
      </c>
      <c r="Z26" s="9">
        <v>1984</v>
      </c>
      <c r="AA26" s="2">
        <f aca="true" t="shared" si="29" ref="AA26:AE41">AA5</f>
        <v>4134531</v>
      </c>
      <c r="AB26" s="2">
        <f t="shared" si="29"/>
        <v>1567887</v>
      </c>
      <c r="AC26" s="1">
        <f t="shared" si="29"/>
        <v>9996</v>
      </c>
      <c r="AD26" s="1">
        <f t="shared" si="29"/>
        <v>44610</v>
      </c>
      <c r="AE26" s="1">
        <f t="shared" si="29"/>
        <v>77938</v>
      </c>
      <c r="AF26" s="1"/>
      <c r="AG26" s="2">
        <f t="shared" si="19"/>
        <v>5834962</v>
      </c>
      <c r="AJ26" s="9">
        <v>1984</v>
      </c>
      <c r="AK26" s="1">
        <f aca="true" t="shared" si="30" ref="AK26:AK41">(B26/AA26)*100000</f>
        <v>73.09172430923846</v>
      </c>
      <c r="AL26" s="1">
        <f t="shared" si="20"/>
        <v>243.51244700670395</v>
      </c>
      <c r="AM26" s="1">
        <f t="shared" si="21"/>
        <v>0</v>
      </c>
      <c r="AN26" s="1">
        <f t="shared" si="22"/>
        <v>0</v>
      </c>
      <c r="AO26" s="1">
        <f t="shared" si="23"/>
        <v>2.5661423182529703</v>
      </c>
      <c r="AP26" s="1"/>
      <c r="AQ26" s="1">
        <f t="shared" si="24"/>
        <v>117.25868994519587</v>
      </c>
      <c r="AR26" s="1">
        <f aca="true" t="shared" si="31" ref="AR26:AR41">(SUM(D26:F26)/SUM(AC26:AE26))*100000</f>
        <v>1.508932882665379</v>
      </c>
    </row>
    <row r="27" spans="1:44" ht="12.75">
      <c r="A27" s="9">
        <v>1985</v>
      </c>
      <c r="B27">
        <v>0</v>
      </c>
      <c r="C27">
        <v>0</v>
      </c>
      <c r="D27">
        <v>0</v>
      </c>
      <c r="E27">
        <v>0</v>
      </c>
      <c r="F27">
        <v>0</v>
      </c>
      <c r="H27" s="2"/>
      <c r="J27" s="9">
        <v>1985</v>
      </c>
      <c r="K27" s="2"/>
      <c r="L27" s="2"/>
      <c r="M27" s="2"/>
      <c r="N27" s="2"/>
      <c r="P27" s="9">
        <f t="shared" si="17"/>
        <v>1985</v>
      </c>
      <c r="Q27" s="2"/>
      <c r="R27" s="2"/>
      <c r="S27" s="1"/>
      <c r="T27" s="1"/>
      <c r="U27" s="1"/>
      <c r="V27" s="1"/>
      <c r="W27" s="2"/>
      <c r="Z27" s="9">
        <v>1985</v>
      </c>
      <c r="AA27" s="2">
        <f t="shared" si="29"/>
        <v>4218275</v>
      </c>
      <c r="AB27" s="2">
        <f t="shared" si="29"/>
        <v>1600794</v>
      </c>
      <c r="AC27" s="1">
        <f t="shared" si="29"/>
        <v>10660</v>
      </c>
      <c r="AD27" s="1">
        <f t="shared" si="29"/>
        <v>49861</v>
      </c>
      <c r="AE27" s="1">
        <f t="shared" si="29"/>
        <v>83086</v>
      </c>
      <c r="AF27" s="1"/>
      <c r="AG27" s="2">
        <f t="shared" si="19"/>
        <v>5962676</v>
      </c>
      <c r="AJ27" s="9">
        <v>1985</v>
      </c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9">
        <v>1986</v>
      </c>
      <c r="B28">
        <v>0</v>
      </c>
      <c r="C28">
        <v>0</v>
      </c>
      <c r="D28">
        <v>0</v>
      </c>
      <c r="E28">
        <v>0</v>
      </c>
      <c r="F28">
        <v>0</v>
      </c>
      <c r="H28" s="2"/>
      <c r="J28" s="9">
        <v>1986</v>
      </c>
      <c r="K28" s="2"/>
      <c r="L28" s="2"/>
      <c r="M28" s="2"/>
      <c r="N28" s="2"/>
      <c r="P28" s="9">
        <f t="shared" si="17"/>
        <v>1986</v>
      </c>
      <c r="Q28" s="2"/>
      <c r="R28" s="2"/>
      <c r="S28" s="1"/>
      <c r="T28" s="1"/>
      <c r="U28" s="1"/>
      <c r="V28" s="1"/>
      <c r="W28" s="2"/>
      <c r="Z28" s="9">
        <v>1986</v>
      </c>
      <c r="AA28" s="2">
        <f t="shared" si="29"/>
        <v>4300604</v>
      </c>
      <c r="AB28" s="2">
        <f t="shared" si="29"/>
        <v>1629524</v>
      </c>
      <c r="AC28" s="1">
        <f t="shared" si="29"/>
        <v>11188</v>
      </c>
      <c r="AD28" s="1">
        <f t="shared" si="29"/>
        <v>54910</v>
      </c>
      <c r="AE28" s="1">
        <f t="shared" si="29"/>
        <v>88440</v>
      </c>
      <c r="AF28" s="1"/>
      <c r="AG28" s="2">
        <f t="shared" si="19"/>
        <v>6084666</v>
      </c>
      <c r="AJ28" s="9">
        <v>1986</v>
      </c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9">
        <v>1987</v>
      </c>
      <c r="B29">
        <v>3578</v>
      </c>
      <c r="C29">
        <v>5089</v>
      </c>
      <c r="D29">
        <v>0</v>
      </c>
      <c r="E29">
        <v>0</v>
      </c>
      <c r="F29">
        <v>0</v>
      </c>
      <c r="H29" s="2">
        <f t="shared" si="25"/>
        <v>8667</v>
      </c>
      <c r="J29" s="9">
        <v>1987</v>
      </c>
      <c r="K29" s="2">
        <f t="shared" si="26"/>
        <v>3578</v>
      </c>
      <c r="L29" s="2">
        <f t="shared" si="26"/>
        <v>5089</v>
      </c>
      <c r="M29" s="2">
        <f t="shared" si="16"/>
        <v>0</v>
      </c>
      <c r="N29" s="2">
        <f t="shared" si="27"/>
        <v>8667</v>
      </c>
      <c r="P29" s="9">
        <f t="shared" si="17"/>
        <v>1987</v>
      </c>
      <c r="Q29" s="2">
        <f t="shared" si="28"/>
        <v>41.28302757586247</v>
      </c>
      <c r="R29" s="2">
        <f t="shared" si="18"/>
        <v>58.71697242413754</v>
      </c>
      <c r="S29" s="1">
        <f t="shared" si="18"/>
        <v>0</v>
      </c>
      <c r="T29" s="1">
        <f t="shared" si="18"/>
        <v>0</v>
      </c>
      <c r="U29" s="1">
        <f t="shared" si="18"/>
        <v>0</v>
      </c>
      <c r="V29" s="1">
        <f t="shared" si="18"/>
        <v>0</v>
      </c>
      <c r="W29" s="2">
        <f t="shared" si="18"/>
        <v>100</v>
      </c>
      <c r="Z29" s="9">
        <v>1987</v>
      </c>
      <c r="AA29" s="2">
        <f t="shared" si="29"/>
        <v>4383235</v>
      </c>
      <c r="AB29" s="2">
        <f t="shared" si="29"/>
        <v>1659852</v>
      </c>
      <c r="AC29" s="1">
        <f t="shared" si="29"/>
        <v>11666</v>
      </c>
      <c r="AD29" s="1">
        <f t="shared" si="29"/>
        <v>59771</v>
      </c>
      <c r="AE29" s="1">
        <f t="shared" si="29"/>
        <v>93958</v>
      </c>
      <c r="AF29" s="1"/>
      <c r="AG29" s="2">
        <f t="shared" si="19"/>
        <v>6208482</v>
      </c>
      <c r="AJ29" s="9">
        <v>1987</v>
      </c>
      <c r="AK29" s="1">
        <f t="shared" si="30"/>
        <v>81.6292076514264</v>
      </c>
      <c r="AL29" s="1">
        <f t="shared" si="20"/>
        <v>306.59359991131737</v>
      </c>
      <c r="AM29" s="1">
        <f t="shared" si="21"/>
        <v>0</v>
      </c>
      <c r="AN29" s="1">
        <f t="shared" si="22"/>
        <v>0</v>
      </c>
      <c r="AO29" s="1">
        <f t="shared" si="23"/>
        <v>0</v>
      </c>
      <c r="AP29" s="1"/>
      <c r="AQ29" s="1">
        <f t="shared" si="24"/>
        <v>139.59934167482487</v>
      </c>
      <c r="AR29" s="1">
        <f t="shared" si="31"/>
        <v>0</v>
      </c>
    </row>
    <row r="30" spans="1:44" ht="12.75">
      <c r="A30" s="9">
        <v>1988</v>
      </c>
      <c r="B30">
        <v>5930</v>
      </c>
      <c r="C30">
        <v>9867</v>
      </c>
      <c r="D30">
        <v>2</v>
      </c>
      <c r="E30">
        <v>0</v>
      </c>
      <c r="F30">
        <v>164</v>
      </c>
      <c r="H30" s="2">
        <f t="shared" si="25"/>
        <v>15963</v>
      </c>
      <c r="J30" s="9">
        <v>1988</v>
      </c>
      <c r="K30" s="2">
        <f t="shared" si="26"/>
        <v>5930</v>
      </c>
      <c r="L30" s="2">
        <f t="shared" si="26"/>
        <v>9867</v>
      </c>
      <c r="M30" s="2">
        <f t="shared" si="16"/>
        <v>166</v>
      </c>
      <c r="N30" s="2">
        <f t="shared" si="27"/>
        <v>15963</v>
      </c>
      <c r="P30" s="9">
        <f t="shared" si="17"/>
        <v>1988</v>
      </c>
      <c r="Q30" s="2">
        <f t="shared" si="28"/>
        <v>37.14840568815386</v>
      </c>
      <c r="R30" s="2">
        <f t="shared" si="18"/>
        <v>61.81168953204285</v>
      </c>
      <c r="S30" s="1">
        <f t="shared" si="18"/>
        <v>0.01252897325064211</v>
      </c>
      <c r="T30" s="1">
        <f t="shared" si="18"/>
        <v>0</v>
      </c>
      <c r="U30" s="1">
        <f t="shared" si="18"/>
        <v>1.027375806552653</v>
      </c>
      <c r="V30" s="1">
        <f t="shared" si="18"/>
        <v>0</v>
      </c>
      <c r="W30" s="2">
        <f t="shared" si="18"/>
        <v>100</v>
      </c>
      <c r="Z30" s="9">
        <v>1988</v>
      </c>
      <c r="AA30" s="2">
        <f t="shared" si="29"/>
        <v>4450317</v>
      </c>
      <c r="AB30" s="2">
        <f t="shared" si="29"/>
        <v>1689293</v>
      </c>
      <c r="AC30" s="1">
        <f t="shared" si="29"/>
        <v>12105</v>
      </c>
      <c r="AD30" s="1">
        <f t="shared" si="29"/>
        <v>64871</v>
      </c>
      <c r="AE30" s="1">
        <f t="shared" si="29"/>
        <v>99577</v>
      </c>
      <c r="AF30" s="1"/>
      <c r="AG30" s="2">
        <f t="shared" si="19"/>
        <v>6316163</v>
      </c>
      <c r="AJ30" s="9">
        <v>1988</v>
      </c>
      <c r="AK30" s="1">
        <f t="shared" si="30"/>
        <v>133.2489348511578</v>
      </c>
      <c r="AL30" s="1">
        <f t="shared" si="20"/>
        <v>584.0905041339779</v>
      </c>
      <c r="AM30" s="1">
        <f t="shared" si="21"/>
        <v>16.522098306484924</v>
      </c>
      <c r="AN30" s="1">
        <f t="shared" si="22"/>
        <v>0</v>
      </c>
      <c r="AO30" s="1">
        <f t="shared" si="23"/>
        <v>164.69666690099118</v>
      </c>
      <c r="AP30" s="1"/>
      <c r="AQ30" s="1">
        <f t="shared" si="24"/>
        <v>252.7325529755961</v>
      </c>
      <c r="AR30" s="1">
        <f t="shared" si="31"/>
        <v>94.02275803866262</v>
      </c>
    </row>
    <row r="31" spans="1:44" ht="12.75">
      <c r="A31" s="9">
        <v>1989</v>
      </c>
      <c r="B31">
        <v>3078</v>
      </c>
      <c r="C31">
        <v>5927</v>
      </c>
      <c r="D31">
        <v>6</v>
      </c>
      <c r="E31">
        <v>3</v>
      </c>
      <c r="F31">
        <v>96</v>
      </c>
      <c r="H31" s="2">
        <f t="shared" si="25"/>
        <v>9110</v>
      </c>
      <c r="J31" s="9">
        <v>1989</v>
      </c>
      <c r="K31" s="2">
        <f t="shared" si="26"/>
        <v>3078</v>
      </c>
      <c r="L31" s="2">
        <f t="shared" si="26"/>
        <v>5927</v>
      </c>
      <c r="M31" s="2">
        <f t="shared" si="16"/>
        <v>105</v>
      </c>
      <c r="N31" s="2">
        <f t="shared" si="27"/>
        <v>9110</v>
      </c>
      <c r="P31" s="9">
        <f t="shared" si="17"/>
        <v>1989</v>
      </c>
      <c r="Q31" s="2">
        <f t="shared" si="28"/>
        <v>33.787047200878156</v>
      </c>
      <c r="R31" s="2">
        <f t="shared" si="18"/>
        <v>65.06037321624588</v>
      </c>
      <c r="S31" s="1">
        <f t="shared" si="18"/>
        <v>0.06586169045005488</v>
      </c>
      <c r="T31" s="1">
        <f t="shared" si="18"/>
        <v>0.03293084522502744</v>
      </c>
      <c r="U31" s="1">
        <f t="shared" si="18"/>
        <v>1.0537870472008781</v>
      </c>
      <c r="V31" s="1">
        <f t="shared" si="18"/>
        <v>0</v>
      </c>
      <c r="W31" s="2">
        <f t="shared" si="18"/>
        <v>100</v>
      </c>
      <c r="Z31" s="9">
        <v>1989</v>
      </c>
      <c r="AA31" s="2">
        <f t="shared" si="29"/>
        <v>4506133</v>
      </c>
      <c r="AB31" s="2">
        <f t="shared" si="29"/>
        <v>1717577</v>
      </c>
      <c r="AC31" s="1">
        <f t="shared" si="29"/>
        <v>12451</v>
      </c>
      <c r="AD31" s="1">
        <f t="shared" si="29"/>
        <v>70100</v>
      </c>
      <c r="AE31" s="1">
        <f t="shared" si="29"/>
        <v>104828</v>
      </c>
      <c r="AF31" s="1"/>
      <c r="AG31" s="2">
        <f t="shared" si="19"/>
        <v>6411089</v>
      </c>
      <c r="AJ31" s="9">
        <v>1989</v>
      </c>
      <c r="AK31" s="1">
        <f t="shared" si="30"/>
        <v>68.30690527776255</v>
      </c>
      <c r="AL31" s="1">
        <f t="shared" si="20"/>
        <v>345.07914346780376</v>
      </c>
      <c r="AM31" s="1">
        <f t="shared" si="21"/>
        <v>48.18890048992049</v>
      </c>
      <c r="AN31" s="1">
        <f t="shared" si="22"/>
        <v>4.279600570613409</v>
      </c>
      <c r="AO31" s="1">
        <f t="shared" si="23"/>
        <v>91.57858587400312</v>
      </c>
      <c r="AP31" s="1"/>
      <c r="AQ31" s="1">
        <f t="shared" si="24"/>
        <v>142.09754380262075</v>
      </c>
      <c r="AR31" s="1">
        <f t="shared" si="31"/>
        <v>56.036162003212745</v>
      </c>
    </row>
    <row r="32" spans="1:44" ht="12.75">
      <c r="A32" s="9">
        <v>1990</v>
      </c>
      <c r="B32">
        <v>3094</v>
      </c>
      <c r="C32">
        <v>6278</v>
      </c>
      <c r="D32">
        <v>3</v>
      </c>
      <c r="E32">
        <v>2</v>
      </c>
      <c r="F32">
        <v>67</v>
      </c>
      <c r="H32" s="2">
        <f t="shared" si="25"/>
        <v>9444</v>
      </c>
      <c r="J32" s="9">
        <v>1990</v>
      </c>
      <c r="K32" s="2">
        <f t="shared" si="26"/>
        <v>3094</v>
      </c>
      <c r="L32" s="2">
        <f t="shared" si="26"/>
        <v>6278</v>
      </c>
      <c r="M32" s="2">
        <f t="shared" si="16"/>
        <v>72</v>
      </c>
      <c r="N32" s="2">
        <f t="shared" si="27"/>
        <v>9444</v>
      </c>
      <c r="P32" s="9">
        <f t="shared" si="17"/>
        <v>1990</v>
      </c>
      <c r="Q32" s="2">
        <f t="shared" si="28"/>
        <v>32.761541719610335</v>
      </c>
      <c r="R32" s="2">
        <f t="shared" si="18"/>
        <v>66.47606946209234</v>
      </c>
      <c r="S32" s="1">
        <f t="shared" si="18"/>
        <v>0.03176620076238882</v>
      </c>
      <c r="T32" s="1">
        <f t="shared" si="18"/>
        <v>0.021177467174925878</v>
      </c>
      <c r="U32" s="1">
        <f t="shared" si="18"/>
        <v>0.7094451503600169</v>
      </c>
      <c r="V32" s="1">
        <f t="shared" si="18"/>
        <v>0</v>
      </c>
      <c r="W32" s="2">
        <f t="shared" si="18"/>
        <v>100</v>
      </c>
      <c r="Z32" s="9">
        <v>1990</v>
      </c>
      <c r="AA32" s="2">
        <f t="shared" si="29"/>
        <v>4560990</v>
      </c>
      <c r="AB32" s="2">
        <f t="shared" si="29"/>
        <v>1747806</v>
      </c>
      <c r="AC32" s="1">
        <f t="shared" si="29"/>
        <v>12703</v>
      </c>
      <c r="AD32" s="1">
        <f t="shared" si="29"/>
        <v>74986</v>
      </c>
      <c r="AE32" s="1">
        <f t="shared" si="29"/>
        <v>110046</v>
      </c>
      <c r="AF32" s="1"/>
      <c r="AG32" s="2">
        <f t="shared" si="19"/>
        <v>6506531</v>
      </c>
      <c r="AJ32" s="9">
        <v>1990</v>
      </c>
      <c r="AK32" s="1">
        <f t="shared" si="30"/>
        <v>67.83614960787023</v>
      </c>
      <c r="AL32" s="1">
        <f t="shared" si="20"/>
        <v>359.1931827674239</v>
      </c>
      <c r="AM32" s="1">
        <f t="shared" si="21"/>
        <v>23.616468550736045</v>
      </c>
      <c r="AN32" s="1">
        <f t="shared" si="22"/>
        <v>2.667164537380311</v>
      </c>
      <c r="AO32" s="1">
        <f t="shared" si="23"/>
        <v>60.88363048179852</v>
      </c>
      <c r="AP32" s="1"/>
      <c r="AQ32" s="1">
        <f t="shared" si="24"/>
        <v>145.14646898631545</v>
      </c>
      <c r="AR32" s="1">
        <f t="shared" si="31"/>
        <v>36.41237009128379</v>
      </c>
    </row>
    <row r="33" spans="1:44" ht="12.75">
      <c r="A33" s="9">
        <v>1991</v>
      </c>
      <c r="B33">
        <v>2693</v>
      </c>
      <c r="C33">
        <v>5427</v>
      </c>
      <c r="D33">
        <v>4</v>
      </c>
      <c r="E33">
        <v>1</v>
      </c>
      <c r="F33">
        <v>49</v>
      </c>
      <c r="H33" s="2">
        <f t="shared" si="25"/>
        <v>8174</v>
      </c>
      <c r="J33" s="9">
        <v>1991</v>
      </c>
      <c r="K33" s="2">
        <f t="shared" si="26"/>
        <v>2693</v>
      </c>
      <c r="L33" s="2">
        <f t="shared" si="26"/>
        <v>5427</v>
      </c>
      <c r="M33" s="2">
        <f t="shared" si="16"/>
        <v>54</v>
      </c>
      <c r="N33" s="2">
        <f t="shared" si="27"/>
        <v>8174</v>
      </c>
      <c r="P33" s="9">
        <f t="shared" si="17"/>
        <v>1991</v>
      </c>
      <c r="Q33" s="2">
        <f t="shared" si="28"/>
        <v>32.94592610716907</v>
      </c>
      <c r="R33" s="2">
        <f t="shared" si="18"/>
        <v>66.39344262295081</v>
      </c>
      <c r="S33" s="1">
        <f t="shared" si="18"/>
        <v>0.048935649620748714</v>
      </c>
      <c r="T33" s="1">
        <f t="shared" si="18"/>
        <v>0.012233912405187179</v>
      </c>
      <c r="U33" s="1">
        <f t="shared" si="18"/>
        <v>0.5994617078541717</v>
      </c>
      <c r="V33" s="1">
        <f t="shared" si="18"/>
        <v>0</v>
      </c>
      <c r="W33" s="2">
        <f t="shared" si="18"/>
        <v>100</v>
      </c>
      <c r="Z33" s="9">
        <v>1991</v>
      </c>
      <c r="AA33" s="2">
        <f t="shared" si="29"/>
        <v>4616130</v>
      </c>
      <c r="AB33" s="2">
        <f t="shared" si="29"/>
        <v>1792774</v>
      </c>
      <c r="AC33" s="1">
        <f t="shared" si="29"/>
        <v>12774</v>
      </c>
      <c r="AD33" s="1">
        <f t="shared" si="29"/>
        <v>80958</v>
      </c>
      <c r="AE33" s="1">
        <f t="shared" si="29"/>
        <v>118643</v>
      </c>
      <c r="AF33" s="1"/>
      <c r="AG33" s="2">
        <f t="shared" si="19"/>
        <v>6621279</v>
      </c>
      <c r="AJ33" s="9">
        <v>1991</v>
      </c>
      <c r="AK33" s="1">
        <f t="shared" si="30"/>
        <v>58.33891159911008</v>
      </c>
      <c r="AL33" s="1">
        <f t="shared" si="20"/>
        <v>302.7152334873219</v>
      </c>
      <c r="AM33" s="1">
        <f t="shared" si="21"/>
        <v>31.31360576170346</v>
      </c>
      <c r="AN33" s="1">
        <f t="shared" si="22"/>
        <v>1.2352083796536475</v>
      </c>
      <c r="AO33" s="1">
        <f t="shared" si="23"/>
        <v>41.30037170334533</v>
      </c>
      <c r="AP33" s="1"/>
      <c r="AQ33" s="1">
        <f t="shared" si="24"/>
        <v>123.45046931265092</v>
      </c>
      <c r="AR33" s="1">
        <f t="shared" si="31"/>
        <v>25.42672160094173</v>
      </c>
    </row>
    <row r="34" spans="1:44" ht="12.75">
      <c r="A34" s="9">
        <v>1992</v>
      </c>
      <c r="B34">
        <v>2688</v>
      </c>
      <c r="C34">
        <v>5381</v>
      </c>
      <c r="D34">
        <v>14</v>
      </c>
      <c r="E34">
        <v>10</v>
      </c>
      <c r="F34">
        <v>0</v>
      </c>
      <c r="H34" s="2">
        <f t="shared" si="25"/>
        <v>8093</v>
      </c>
      <c r="J34" s="9">
        <v>1992</v>
      </c>
      <c r="K34" s="2">
        <f t="shared" si="26"/>
        <v>2688</v>
      </c>
      <c r="L34" s="2">
        <f t="shared" si="26"/>
        <v>5381</v>
      </c>
      <c r="M34" s="2">
        <f t="shared" si="16"/>
        <v>24</v>
      </c>
      <c r="N34" s="2">
        <f t="shared" si="27"/>
        <v>8093</v>
      </c>
      <c r="P34" s="9">
        <f t="shared" si="17"/>
        <v>1992</v>
      </c>
      <c r="Q34" s="2">
        <f t="shared" si="28"/>
        <v>33.21388854565674</v>
      </c>
      <c r="R34" s="2">
        <f t="shared" si="18"/>
        <v>66.48955887804276</v>
      </c>
      <c r="S34" s="1">
        <f t="shared" si="18"/>
        <v>0.1729890028419622</v>
      </c>
      <c r="T34" s="1">
        <f t="shared" si="18"/>
        <v>0.12356357345854442</v>
      </c>
      <c r="U34" s="1">
        <f t="shared" si="18"/>
        <v>0</v>
      </c>
      <c r="V34" s="1">
        <f t="shared" si="18"/>
        <v>0</v>
      </c>
      <c r="W34" s="2">
        <f t="shared" si="18"/>
        <v>100</v>
      </c>
      <c r="Z34" s="9">
        <v>1992</v>
      </c>
      <c r="AA34" s="2">
        <f t="shared" si="29"/>
        <v>4686847</v>
      </c>
      <c r="AB34" s="2">
        <f t="shared" si="29"/>
        <v>1841545</v>
      </c>
      <c r="AC34" s="1">
        <f t="shared" si="29"/>
        <v>13230</v>
      </c>
      <c r="AD34" s="1">
        <f t="shared" si="29"/>
        <v>88668</v>
      </c>
      <c r="AE34" s="1">
        <f t="shared" si="29"/>
        <v>129184</v>
      </c>
      <c r="AF34" s="1"/>
      <c r="AG34" s="2">
        <f t="shared" si="19"/>
        <v>6759474</v>
      </c>
      <c r="AJ34" s="9">
        <v>1992</v>
      </c>
      <c r="AK34" s="1">
        <f t="shared" si="30"/>
        <v>57.35198951448597</v>
      </c>
      <c r="AL34" s="1">
        <f t="shared" si="20"/>
        <v>292.20029920528685</v>
      </c>
      <c r="AM34" s="1">
        <f t="shared" si="21"/>
        <v>105.82010582010582</v>
      </c>
      <c r="AN34" s="1">
        <f t="shared" si="22"/>
        <v>11.278025894347453</v>
      </c>
      <c r="AO34" s="1">
        <f t="shared" si="23"/>
        <v>0</v>
      </c>
      <c r="AP34" s="1"/>
      <c r="AQ34" s="1">
        <f t="shared" si="24"/>
        <v>119.728251044386</v>
      </c>
      <c r="AR34" s="1">
        <f t="shared" si="31"/>
        <v>10.385923611531837</v>
      </c>
    </row>
    <row r="35" spans="1:44" ht="12.75">
      <c r="A35" s="9">
        <v>1993</v>
      </c>
      <c r="B35">
        <v>2446</v>
      </c>
      <c r="C35">
        <v>5035</v>
      </c>
      <c r="D35">
        <v>8</v>
      </c>
      <c r="E35">
        <v>13</v>
      </c>
      <c r="F35">
        <v>76</v>
      </c>
      <c r="H35" s="2">
        <f t="shared" si="25"/>
        <v>7578</v>
      </c>
      <c r="J35" s="9">
        <v>1993</v>
      </c>
      <c r="K35" s="2">
        <f t="shared" si="26"/>
        <v>2446</v>
      </c>
      <c r="L35" s="2">
        <f t="shared" si="26"/>
        <v>5035</v>
      </c>
      <c r="M35" s="2">
        <f t="shared" si="16"/>
        <v>97</v>
      </c>
      <c r="N35" s="2">
        <f t="shared" si="27"/>
        <v>7578</v>
      </c>
      <c r="P35" s="9">
        <f t="shared" si="17"/>
        <v>1993</v>
      </c>
      <c r="Q35" s="2">
        <f t="shared" si="28"/>
        <v>32.277645816838216</v>
      </c>
      <c r="R35" s="2">
        <f t="shared" si="18"/>
        <v>66.44233306941145</v>
      </c>
      <c r="S35" s="1">
        <f t="shared" si="18"/>
        <v>0.10556875164951175</v>
      </c>
      <c r="T35" s="1">
        <f t="shared" si="18"/>
        <v>0.1715492214304566</v>
      </c>
      <c r="U35" s="1">
        <f t="shared" si="18"/>
        <v>1.0029031406703617</v>
      </c>
      <c r="V35" s="1">
        <f t="shared" si="18"/>
        <v>0</v>
      </c>
      <c r="W35" s="2">
        <f t="shared" si="18"/>
        <v>100</v>
      </c>
      <c r="Z35" s="9">
        <v>1993</v>
      </c>
      <c r="AA35" s="2">
        <f t="shared" si="29"/>
        <v>4751956</v>
      </c>
      <c r="AB35" s="2">
        <f t="shared" si="29"/>
        <v>1893269</v>
      </c>
      <c r="AC35" s="1">
        <f t="shared" si="29"/>
        <v>13619</v>
      </c>
      <c r="AD35" s="1">
        <f t="shared" si="29"/>
        <v>96669</v>
      </c>
      <c r="AE35" s="1">
        <f t="shared" si="29"/>
        <v>138579</v>
      </c>
      <c r="AF35" s="1"/>
      <c r="AG35" s="2">
        <f t="shared" si="19"/>
        <v>6894092</v>
      </c>
      <c r="AJ35" s="9">
        <v>1993</v>
      </c>
      <c r="AK35" s="1">
        <f t="shared" si="30"/>
        <v>51.47354057992119</v>
      </c>
      <c r="AL35" s="1">
        <f t="shared" si="20"/>
        <v>265.9421350056437</v>
      </c>
      <c r="AM35" s="1">
        <f t="shared" si="21"/>
        <v>58.74146413099346</v>
      </c>
      <c r="AN35" s="1">
        <f t="shared" si="22"/>
        <v>13.447951256348984</v>
      </c>
      <c r="AO35" s="1">
        <f t="shared" si="23"/>
        <v>54.84236428318865</v>
      </c>
      <c r="AP35" s="1"/>
      <c r="AQ35" s="1">
        <f t="shared" si="24"/>
        <v>109.92020414000856</v>
      </c>
      <c r="AR35" s="1">
        <f t="shared" si="31"/>
        <v>38.976642142188396</v>
      </c>
    </row>
    <row r="36" spans="1:44" ht="12.75">
      <c r="A36" s="9">
        <v>1994</v>
      </c>
      <c r="B36">
        <v>2616</v>
      </c>
      <c r="C36">
        <v>5059</v>
      </c>
      <c r="D36">
        <v>11</v>
      </c>
      <c r="E36">
        <v>8</v>
      </c>
      <c r="F36">
        <v>101</v>
      </c>
      <c r="H36" s="2">
        <f t="shared" si="25"/>
        <v>7795</v>
      </c>
      <c r="J36" s="9">
        <v>1994</v>
      </c>
      <c r="K36" s="2">
        <f t="shared" si="26"/>
        <v>2616</v>
      </c>
      <c r="L36" s="2">
        <f t="shared" si="26"/>
        <v>5059</v>
      </c>
      <c r="M36" s="2">
        <f t="shared" si="16"/>
        <v>120</v>
      </c>
      <c r="N36" s="2">
        <f t="shared" si="27"/>
        <v>7795</v>
      </c>
      <c r="P36" s="9">
        <f t="shared" si="17"/>
        <v>1994</v>
      </c>
      <c r="Q36" s="2">
        <f t="shared" si="28"/>
        <v>33.55997434252726</v>
      </c>
      <c r="R36" s="2">
        <f t="shared" si="18"/>
        <v>64.90057729313664</v>
      </c>
      <c r="S36" s="1">
        <f t="shared" si="18"/>
        <v>0.14111610006414368</v>
      </c>
      <c r="T36" s="1">
        <f t="shared" si="18"/>
        <v>0.10262989095574088</v>
      </c>
      <c r="U36" s="1">
        <f t="shared" si="18"/>
        <v>1.2957023733162285</v>
      </c>
      <c r="V36" s="1">
        <f t="shared" si="18"/>
        <v>0</v>
      </c>
      <c r="W36" s="2">
        <f t="shared" si="18"/>
        <v>100</v>
      </c>
      <c r="Z36" s="9">
        <v>1994</v>
      </c>
      <c r="AA36" s="2">
        <f t="shared" si="29"/>
        <v>4826583</v>
      </c>
      <c r="AB36" s="2">
        <f t="shared" si="29"/>
        <v>1949003</v>
      </c>
      <c r="AC36" s="1">
        <f t="shared" si="29"/>
        <v>13948</v>
      </c>
      <c r="AD36" s="1">
        <f t="shared" si="29"/>
        <v>106102</v>
      </c>
      <c r="AE36" s="1">
        <f t="shared" si="29"/>
        <v>150264</v>
      </c>
      <c r="AF36" s="1"/>
      <c r="AG36" s="2">
        <f t="shared" si="19"/>
        <v>7045900</v>
      </c>
      <c r="AJ36" s="9">
        <v>1994</v>
      </c>
      <c r="AK36" s="1">
        <f t="shared" si="30"/>
        <v>54.19983454133079</v>
      </c>
      <c r="AL36" s="1">
        <f t="shared" si="20"/>
        <v>259.56861020737267</v>
      </c>
      <c r="AM36" s="1">
        <f t="shared" si="21"/>
        <v>78.86435331230284</v>
      </c>
      <c r="AN36" s="1">
        <f t="shared" si="22"/>
        <v>7.539914421971311</v>
      </c>
      <c r="AO36" s="1">
        <f t="shared" si="23"/>
        <v>67.2150348719587</v>
      </c>
      <c r="AP36" s="1"/>
      <c r="AQ36" s="1">
        <f t="shared" si="24"/>
        <v>110.63171489802579</v>
      </c>
      <c r="AR36" s="1">
        <f t="shared" si="31"/>
        <v>44.39281724217022</v>
      </c>
    </row>
    <row r="37" spans="1:44" ht="12.75">
      <c r="A37" s="9">
        <v>1995</v>
      </c>
      <c r="B37">
        <v>2768</v>
      </c>
      <c r="C37">
        <v>5488</v>
      </c>
      <c r="D37">
        <v>22</v>
      </c>
      <c r="E37">
        <v>2</v>
      </c>
      <c r="F37">
        <v>66</v>
      </c>
      <c r="H37" s="2">
        <f t="shared" si="25"/>
        <v>8346</v>
      </c>
      <c r="J37" s="9">
        <v>1995</v>
      </c>
      <c r="K37" s="2">
        <f t="shared" si="26"/>
        <v>2768</v>
      </c>
      <c r="L37" s="2">
        <f t="shared" si="26"/>
        <v>5488</v>
      </c>
      <c r="M37" s="2">
        <f t="shared" si="16"/>
        <v>90</v>
      </c>
      <c r="N37" s="2">
        <f t="shared" si="27"/>
        <v>8346</v>
      </c>
      <c r="P37" s="9">
        <f t="shared" si="17"/>
        <v>1995</v>
      </c>
      <c r="Q37" s="2">
        <f t="shared" si="28"/>
        <v>33.16558830577522</v>
      </c>
      <c r="R37" s="2">
        <f t="shared" si="18"/>
        <v>65.75605080277978</v>
      </c>
      <c r="S37" s="1">
        <f t="shared" si="18"/>
        <v>0.26359932901988975</v>
      </c>
      <c r="T37" s="1">
        <f t="shared" si="18"/>
        <v>0.023963575365444526</v>
      </c>
      <c r="U37" s="1">
        <f t="shared" si="18"/>
        <v>0.7907979870596693</v>
      </c>
      <c r="V37" s="1">
        <f t="shared" si="18"/>
        <v>0</v>
      </c>
      <c r="W37" s="2">
        <f t="shared" si="18"/>
        <v>100</v>
      </c>
      <c r="Z37" s="9">
        <v>1995</v>
      </c>
      <c r="AA37" s="2">
        <f t="shared" si="29"/>
        <v>4893111</v>
      </c>
      <c r="AB37" s="2">
        <f t="shared" si="29"/>
        <v>1998061</v>
      </c>
      <c r="AC37" s="1">
        <f t="shared" si="29"/>
        <v>14369</v>
      </c>
      <c r="AD37" s="1">
        <f t="shared" si="29"/>
        <v>115588</v>
      </c>
      <c r="AE37" s="1">
        <f t="shared" si="29"/>
        <v>167409</v>
      </c>
      <c r="AF37" s="1"/>
      <c r="AG37" s="2">
        <f t="shared" si="19"/>
        <v>7188538</v>
      </c>
      <c r="AJ37" s="9">
        <v>1995</v>
      </c>
      <c r="AK37" s="1">
        <f t="shared" si="30"/>
        <v>56.56932777531514</v>
      </c>
      <c r="AL37" s="1">
        <f t="shared" si="20"/>
        <v>274.66628896715366</v>
      </c>
      <c r="AM37" s="1">
        <f t="shared" si="21"/>
        <v>153.10738395156238</v>
      </c>
      <c r="AN37" s="1">
        <f t="shared" si="22"/>
        <v>1.7302834204242654</v>
      </c>
      <c r="AO37" s="1">
        <f t="shared" si="23"/>
        <v>39.42440370589395</v>
      </c>
      <c r="AP37" s="1"/>
      <c r="AQ37" s="1">
        <f t="shared" si="24"/>
        <v>116.10149379470485</v>
      </c>
      <c r="AR37" s="1">
        <f t="shared" si="31"/>
        <v>30.265733136942355</v>
      </c>
    </row>
    <row r="38" spans="1:44" ht="12.75">
      <c r="A38" s="9">
        <v>1996</v>
      </c>
      <c r="B38">
        <v>2139</v>
      </c>
      <c r="C38">
        <v>3789</v>
      </c>
      <c r="D38">
        <v>13</v>
      </c>
      <c r="E38">
        <v>12</v>
      </c>
      <c r="F38">
        <v>81</v>
      </c>
      <c r="H38" s="2">
        <f t="shared" si="25"/>
        <v>6034</v>
      </c>
      <c r="J38" s="9">
        <v>1996</v>
      </c>
      <c r="K38" s="2">
        <f t="shared" si="26"/>
        <v>2139</v>
      </c>
      <c r="L38" s="2">
        <f t="shared" si="26"/>
        <v>3789</v>
      </c>
      <c r="M38" s="2">
        <f t="shared" si="16"/>
        <v>106</v>
      </c>
      <c r="N38" s="2">
        <f t="shared" si="27"/>
        <v>6034</v>
      </c>
      <c r="P38" s="9">
        <f t="shared" si="17"/>
        <v>1996</v>
      </c>
      <c r="Q38" s="2">
        <f t="shared" si="28"/>
        <v>35.44912164401723</v>
      </c>
      <c r="R38" s="2">
        <f t="shared" si="18"/>
        <v>62.794166390454095</v>
      </c>
      <c r="S38" s="1">
        <f t="shared" si="18"/>
        <v>0.2154458070931389</v>
      </c>
      <c r="T38" s="1">
        <f t="shared" si="18"/>
        <v>0.19887305270135897</v>
      </c>
      <c r="U38" s="1">
        <f t="shared" si="18"/>
        <v>1.3423931057341731</v>
      </c>
      <c r="V38" s="1">
        <f t="shared" si="18"/>
        <v>0</v>
      </c>
      <c r="W38" s="2">
        <f t="shared" si="18"/>
        <v>100</v>
      </c>
      <c r="Z38" s="9">
        <v>1996</v>
      </c>
      <c r="AA38" s="2">
        <f t="shared" si="29"/>
        <v>4958266</v>
      </c>
      <c r="AB38" s="2">
        <f t="shared" si="29"/>
        <v>2050148</v>
      </c>
      <c r="AC38" s="1">
        <f t="shared" si="29"/>
        <v>14780</v>
      </c>
      <c r="AD38" s="1">
        <f t="shared" si="29"/>
        <v>124367</v>
      </c>
      <c r="AE38" s="1">
        <f t="shared" si="29"/>
        <v>184664</v>
      </c>
      <c r="AF38" s="1"/>
      <c r="AG38" s="2">
        <f t="shared" si="19"/>
        <v>7332225</v>
      </c>
      <c r="AJ38" s="9">
        <v>1996</v>
      </c>
      <c r="AK38" s="1">
        <f t="shared" si="30"/>
        <v>43.14008163337748</v>
      </c>
      <c r="AL38" s="1">
        <f t="shared" si="20"/>
        <v>184.81592548440403</v>
      </c>
      <c r="AM38" s="1">
        <f t="shared" si="21"/>
        <v>87.95669824086603</v>
      </c>
      <c r="AN38" s="1">
        <f t="shared" si="22"/>
        <v>9.648861836339222</v>
      </c>
      <c r="AO38" s="1">
        <f t="shared" si="23"/>
        <v>43.86344929168652</v>
      </c>
      <c r="AP38" s="1"/>
      <c r="AQ38" s="1">
        <f t="shared" si="24"/>
        <v>82.29425583639345</v>
      </c>
      <c r="AR38" s="1">
        <f t="shared" si="31"/>
        <v>32.73514488389832</v>
      </c>
    </row>
    <row r="39" spans="1:44" ht="12.75">
      <c r="A39" s="9">
        <v>1997</v>
      </c>
      <c r="B39">
        <v>0</v>
      </c>
      <c r="C39">
        <v>0</v>
      </c>
      <c r="D39">
        <v>0</v>
      </c>
      <c r="E39">
        <v>0</v>
      </c>
      <c r="F39">
        <v>0</v>
      </c>
      <c r="H39" s="2"/>
      <c r="J39" s="9">
        <v>1997</v>
      </c>
      <c r="K39" s="2"/>
      <c r="L39" s="2"/>
      <c r="M39" s="2"/>
      <c r="N39" s="2"/>
      <c r="P39" s="9">
        <f t="shared" si="17"/>
        <v>1997</v>
      </c>
      <c r="Q39" s="2"/>
      <c r="R39" s="2"/>
      <c r="S39" s="1"/>
      <c r="T39" s="1"/>
      <c r="U39" s="1"/>
      <c r="V39" s="1"/>
      <c r="W39" s="2"/>
      <c r="Z39" s="9">
        <v>1997</v>
      </c>
      <c r="AA39" s="2">
        <f t="shared" si="29"/>
        <v>5026613</v>
      </c>
      <c r="AB39" s="2">
        <f t="shared" si="29"/>
        <v>2105477</v>
      </c>
      <c r="AC39" s="1">
        <f t="shared" si="29"/>
        <v>14990</v>
      </c>
      <c r="AD39" s="1">
        <f t="shared" si="29"/>
        <v>133823</v>
      </c>
      <c r="AE39" s="1">
        <f t="shared" si="29"/>
        <v>205191</v>
      </c>
      <c r="AF39" s="1"/>
      <c r="AG39" s="2">
        <f t="shared" si="19"/>
        <v>7486094</v>
      </c>
      <c r="AJ39" s="9">
        <v>1997</v>
      </c>
      <c r="AK39" s="1"/>
      <c r="AL39" s="1"/>
      <c r="AM39" s="1"/>
      <c r="AN39" s="1"/>
      <c r="AO39" s="1"/>
      <c r="AP39" s="1"/>
      <c r="AQ39" s="1"/>
      <c r="AR39" s="1"/>
    </row>
    <row r="40" spans="1:44" ht="12.75">
      <c r="A40" s="9">
        <v>1998</v>
      </c>
      <c r="B40">
        <v>2251</v>
      </c>
      <c r="C40">
        <v>3678</v>
      </c>
      <c r="D40">
        <v>20</v>
      </c>
      <c r="E40">
        <v>8</v>
      </c>
      <c r="F40">
        <v>109</v>
      </c>
      <c r="H40" s="2">
        <f t="shared" si="25"/>
        <v>6066</v>
      </c>
      <c r="J40" s="9">
        <v>1998</v>
      </c>
      <c r="K40" s="2">
        <f t="shared" si="26"/>
        <v>2251</v>
      </c>
      <c r="L40" s="2">
        <f t="shared" si="26"/>
        <v>3678</v>
      </c>
      <c r="M40" s="2">
        <f t="shared" si="16"/>
        <v>137</v>
      </c>
      <c r="N40" s="2">
        <f t="shared" si="27"/>
        <v>6066</v>
      </c>
      <c r="P40" s="9">
        <f t="shared" si="17"/>
        <v>1998</v>
      </c>
      <c r="Q40" s="2">
        <f t="shared" si="28"/>
        <v>37.10847345862183</v>
      </c>
      <c r="R40" s="2">
        <f t="shared" si="18"/>
        <v>60.633036597428294</v>
      </c>
      <c r="S40" s="1">
        <f t="shared" si="18"/>
        <v>0.3297065611605671</v>
      </c>
      <c r="T40" s="1">
        <f t="shared" si="18"/>
        <v>0.13188262446422683</v>
      </c>
      <c r="U40" s="1">
        <f t="shared" si="18"/>
        <v>1.7969007583250909</v>
      </c>
      <c r="V40" s="1">
        <f t="shared" si="18"/>
        <v>0</v>
      </c>
      <c r="W40" s="2">
        <f t="shared" si="18"/>
        <v>100</v>
      </c>
      <c r="Z40" s="9">
        <v>1998</v>
      </c>
      <c r="AA40" s="2">
        <f t="shared" si="29"/>
        <v>5095472</v>
      </c>
      <c r="AB40" s="2">
        <f t="shared" si="29"/>
        <v>2160382</v>
      </c>
      <c r="AC40" s="1">
        <f t="shared" si="29"/>
        <v>15527</v>
      </c>
      <c r="AD40" s="1">
        <f t="shared" si="29"/>
        <v>144229</v>
      </c>
      <c r="AE40" s="1">
        <f t="shared" si="29"/>
        <v>220912</v>
      </c>
      <c r="AF40" s="1"/>
      <c r="AG40" s="2">
        <f t="shared" si="19"/>
        <v>7636522</v>
      </c>
      <c r="AJ40" s="9">
        <v>1998</v>
      </c>
      <c r="AK40" s="1">
        <f t="shared" si="30"/>
        <v>44.17647668361243</v>
      </c>
      <c r="AL40" s="1">
        <f t="shared" si="20"/>
        <v>170.247669162213</v>
      </c>
      <c r="AM40" s="1">
        <f t="shared" si="21"/>
        <v>128.8078830424422</v>
      </c>
      <c r="AN40" s="1">
        <f t="shared" si="22"/>
        <v>5.546734706612401</v>
      </c>
      <c r="AO40" s="1">
        <f t="shared" si="23"/>
        <v>49.34091402911566</v>
      </c>
      <c r="AP40" s="1"/>
      <c r="AQ40" s="1">
        <f t="shared" si="24"/>
        <v>79.43406697446822</v>
      </c>
      <c r="AR40" s="1">
        <f t="shared" si="31"/>
        <v>35.98936606176511</v>
      </c>
    </row>
    <row r="41" spans="1:44" ht="12.75">
      <c r="A41" s="9">
        <v>1999</v>
      </c>
      <c r="B41">
        <v>3009</v>
      </c>
      <c r="C41">
        <v>5224</v>
      </c>
      <c r="D41">
        <v>8</v>
      </c>
      <c r="E41">
        <v>13</v>
      </c>
      <c r="F41">
        <v>210</v>
      </c>
      <c r="H41" s="2">
        <f t="shared" si="25"/>
        <v>8464</v>
      </c>
      <c r="J41" s="9">
        <v>1999</v>
      </c>
      <c r="K41" s="2">
        <f t="shared" si="26"/>
        <v>3009</v>
      </c>
      <c r="L41" s="2">
        <f t="shared" si="26"/>
        <v>5224</v>
      </c>
      <c r="M41" s="2">
        <f t="shared" si="16"/>
        <v>231</v>
      </c>
      <c r="N41" s="2">
        <f t="shared" si="27"/>
        <v>8464</v>
      </c>
      <c r="P41" s="9">
        <f t="shared" si="17"/>
        <v>1999</v>
      </c>
      <c r="Q41" s="2">
        <f t="shared" si="28"/>
        <v>35.550567107750474</v>
      </c>
      <c r="R41" s="2">
        <f aca="true" t="shared" si="32" ref="R41:W42">(C41/$H41)*100</f>
        <v>61.72022684310019</v>
      </c>
      <c r="S41" s="1">
        <f t="shared" si="32"/>
        <v>0.0945179584120983</v>
      </c>
      <c r="T41" s="1">
        <f t="shared" si="32"/>
        <v>0.15359168241965973</v>
      </c>
      <c r="U41" s="1">
        <f t="shared" si="32"/>
        <v>2.4810964083175806</v>
      </c>
      <c r="V41" s="1">
        <f t="shared" si="32"/>
        <v>0</v>
      </c>
      <c r="W41" s="2">
        <f t="shared" si="32"/>
        <v>100</v>
      </c>
      <c r="Z41" s="9">
        <v>1999</v>
      </c>
      <c r="AA41" s="2">
        <f t="shared" si="29"/>
        <v>5162469</v>
      </c>
      <c r="AB41" s="2">
        <f t="shared" si="29"/>
        <v>2215435</v>
      </c>
      <c r="AC41" s="1">
        <f t="shared" si="29"/>
        <v>15867</v>
      </c>
      <c r="AD41" s="1">
        <f t="shared" si="29"/>
        <v>154903</v>
      </c>
      <c r="AE41" s="1">
        <f t="shared" si="29"/>
        <v>239566</v>
      </c>
      <c r="AF41" s="1"/>
      <c r="AG41" s="2">
        <f t="shared" si="19"/>
        <v>7788240</v>
      </c>
      <c r="AJ41" s="9">
        <v>1999</v>
      </c>
      <c r="AK41" s="1">
        <f t="shared" si="30"/>
        <v>58.28606428435697</v>
      </c>
      <c r="AL41" s="1">
        <f>(C41/AB41)*100000</f>
        <v>235.8001927386721</v>
      </c>
      <c r="AM41" s="1">
        <f>(D41/AC41)*100000</f>
        <v>50.41910884225121</v>
      </c>
      <c r="AN41" s="1">
        <f>(E41/AD41)*100000</f>
        <v>8.392348760191862</v>
      </c>
      <c r="AO41" s="1">
        <f>(F41/AE41)*100000</f>
        <v>87.65851581610079</v>
      </c>
      <c r="AP41" s="1"/>
      <c r="AQ41" s="1">
        <f t="shared" si="24"/>
        <v>108.67667149445832</v>
      </c>
      <c r="AR41" s="1">
        <f t="shared" si="31"/>
        <v>56.295328706231</v>
      </c>
    </row>
    <row r="42" spans="1:23" s="4" customFormat="1" ht="12.75">
      <c r="A42" s="13" t="s">
        <v>13</v>
      </c>
      <c r="B42" s="21">
        <f aca="true" t="shared" si="33" ref="B42:G42">SUM(B25:B41)</f>
        <v>41987</v>
      </c>
      <c r="C42" s="21">
        <f t="shared" si="33"/>
        <v>73442</v>
      </c>
      <c r="D42" s="21">
        <f t="shared" si="33"/>
        <v>111</v>
      </c>
      <c r="E42" s="21">
        <f t="shared" si="33"/>
        <v>72</v>
      </c>
      <c r="F42" s="21">
        <f t="shared" si="33"/>
        <v>1021</v>
      </c>
      <c r="G42" s="21">
        <f t="shared" si="33"/>
        <v>0</v>
      </c>
      <c r="H42" s="21">
        <f t="shared" si="25"/>
        <v>116633</v>
      </c>
      <c r="J42" s="13" t="s">
        <v>13</v>
      </c>
      <c r="K42" s="21">
        <f>B42</f>
        <v>41987</v>
      </c>
      <c r="L42" s="21">
        <f>C42</f>
        <v>73442</v>
      </c>
      <c r="M42" s="21">
        <f t="shared" si="16"/>
        <v>1204</v>
      </c>
      <c r="N42" s="21">
        <f>H42</f>
        <v>116633</v>
      </c>
      <c r="P42" s="13" t="str">
        <f t="shared" si="17"/>
        <v>Total</v>
      </c>
      <c r="Q42" s="21">
        <f t="shared" si="28"/>
        <v>35.99924549655758</v>
      </c>
      <c r="R42" s="21">
        <f t="shared" si="32"/>
        <v>62.96845661176511</v>
      </c>
      <c r="S42" s="23">
        <f t="shared" si="32"/>
        <v>0.095170320578224</v>
      </c>
      <c r="T42" s="23">
        <f t="shared" si="32"/>
        <v>0.06173209983452368</v>
      </c>
      <c r="U42" s="23">
        <f t="shared" si="32"/>
        <v>0.8753954712645649</v>
      </c>
      <c r="V42" s="23">
        <f t="shared" si="32"/>
        <v>0</v>
      </c>
      <c r="W42" s="21">
        <f t="shared" si="32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2" t="str">
        <f>CONCATENATE("Admissions Balance, All Races: ",$A$1)</f>
        <v>Admissions Balance, All Races: GEORGIA</v>
      </c>
      <c r="B45" s="32"/>
      <c r="C45" s="32"/>
      <c r="D45" s="32"/>
      <c r="E45" s="32"/>
      <c r="F45" s="32"/>
      <c r="G45" s="32"/>
      <c r="H45" s="32"/>
      <c r="J45" s="32" t="str">
        <f>CONCATENATE("Admissions Balance, BW + Balance: ",$A$1)</f>
        <v>Admissions Balance, BW + Balance: GEORGIA</v>
      </c>
      <c r="K45" s="32"/>
      <c r="L45" s="32"/>
      <c r="M45" s="32"/>
      <c r="N45" s="32"/>
      <c r="P45" s="32" t="str">
        <f>CONCATENATE("Percent of Total, Admissions Balance by Race: ",$A$1)</f>
        <v>Percent of Total, Admissions Balance by Race: GEORGIA</v>
      </c>
      <c r="Q45" s="32"/>
      <c r="R45" s="32"/>
      <c r="S45" s="32"/>
      <c r="T45" s="32"/>
      <c r="U45" s="32"/>
      <c r="V45" s="32"/>
      <c r="W45" s="32"/>
      <c r="Z45" s="32" t="str">
        <f>CONCATENATE("Total Population, By Race: ",$A$1)</f>
        <v>Total Population, By Race: GEORGIA</v>
      </c>
      <c r="AA45" s="32"/>
      <c r="AB45" s="32"/>
      <c r="AC45" s="32"/>
      <c r="AD45" s="32"/>
      <c r="AE45" s="32"/>
      <c r="AF45" s="32"/>
      <c r="AG45" s="32"/>
      <c r="AJ45" s="32" t="str">
        <f>CONCATENATE("Admissions Balance, per 100,000 By Race: ",$A$1)</f>
        <v>Admissions Balance, per 100,000 By Race: GEORGIA</v>
      </c>
      <c r="AK45" s="32"/>
      <c r="AL45" s="32"/>
      <c r="AM45" s="32"/>
      <c r="AN45" s="32"/>
      <c r="AO45" s="32"/>
      <c r="AP45" s="32"/>
      <c r="AQ45" s="32"/>
      <c r="AR45" s="32"/>
    </row>
    <row r="46" spans="1:44" ht="12.75">
      <c r="A46" s="20" t="s">
        <v>25</v>
      </c>
      <c r="B46" s="19" t="s">
        <v>11</v>
      </c>
      <c r="C46" s="19" t="s">
        <v>12</v>
      </c>
      <c r="D46" s="19" t="s">
        <v>28</v>
      </c>
      <c r="E46" s="19" t="s">
        <v>29</v>
      </c>
      <c r="F46" s="19" t="s">
        <v>26</v>
      </c>
      <c r="G46" s="19" t="s">
        <v>27</v>
      </c>
      <c r="H46" s="19" t="s">
        <v>13</v>
      </c>
      <c r="J46" s="20" t="s">
        <v>25</v>
      </c>
      <c r="K46" s="19" t="s">
        <v>11</v>
      </c>
      <c r="L46" s="19" t="s">
        <v>12</v>
      </c>
      <c r="M46" s="19" t="s">
        <v>30</v>
      </c>
      <c r="N46" s="19" t="s">
        <v>13</v>
      </c>
      <c r="P46" s="20" t="str">
        <f aca="true" t="shared" si="34" ref="P46:W46">A46</f>
        <v>Year</v>
      </c>
      <c r="Q46" s="19" t="str">
        <f t="shared" si="34"/>
        <v>White, NH</v>
      </c>
      <c r="R46" s="19" t="str">
        <f t="shared" si="34"/>
        <v>Black, NH</v>
      </c>
      <c r="S46" s="19" t="str">
        <f t="shared" si="34"/>
        <v>Amerind, NH</v>
      </c>
      <c r="T46" s="19" t="str">
        <f t="shared" si="34"/>
        <v>Asian/PI, NH</v>
      </c>
      <c r="U46" s="19" t="str">
        <f t="shared" si="34"/>
        <v>Hisp, All</v>
      </c>
      <c r="V46" s="19" t="str">
        <f t="shared" si="34"/>
        <v>Race/Hisp NK</v>
      </c>
      <c r="W46" s="19" t="str">
        <f t="shared" si="34"/>
        <v>Total</v>
      </c>
      <c r="Z46" s="20" t="s">
        <v>25</v>
      </c>
      <c r="AA46" s="19" t="s">
        <v>11</v>
      </c>
      <c r="AB46" s="19" t="s">
        <v>12</v>
      </c>
      <c r="AC46" s="19" t="s">
        <v>28</v>
      </c>
      <c r="AD46" s="19" t="s">
        <v>29</v>
      </c>
      <c r="AE46" s="19" t="s">
        <v>26</v>
      </c>
      <c r="AF46" s="19" t="s">
        <v>27</v>
      </c>
      <c r="AG46" s="19" t="s">
        <v>13</v>
      </c>
      <c r="AJ46" s="20" t="s">
        <v>25</v>
      </c>
      <c r="AK46" s="19" t="s">
        <v>11</v>
      </c>
      <c r="AL46" s="19" t="s">
        <v>12</v>
      </c>
      <c r="AM46" s="19" t="s">
        <v>28</v>
      </c>
      <c r="AN46" s="19" t="s">
        <v>29</v>
      </c>
      <c r="AO46" s="19" t="s">
        <v>26</v>
      </c>
      <c r="AP46" s="19" t="s">
        <v>27</v>
      </c>
      <c r="AQ46" s="19" t="s">
        <v>13</v>
      </c>
      <c r="AR46" s="19" t="s">
        <v>30</v>
      </c>
    </row>
    <row r="47" spans="1:44" ht="12.75">
      <c r="A47" s="9">
        <v>1983</v>
      </c>
      <c r="B47" s="2">
        <f aca="true" t="shared" si="35" ref="B47:H56">B4-B25</f>
        <v>1672</v>
      </c>
      <c r="C47" s="2">
        <f t="shared" si="35"/>
        <v>1921</v>
      </c>
      <c r="D47">
        <f t="shared" si="35"/>
        <v>0</v>
      </c>
      <c r="E47">
        <f t="shared" si="35"/>
        <v>0</v>
      </c>
      <c r="F47">
        <f t="shared" si="35"/>
        <v>1</v>
      </c>
      <c r="H47" s="2">
        <f t="shared" si="35"/>
        <v>3594</v>
      </c>
      <c r="J47" s="9">
        <v>1983</v>
      </c>
      <c r="K47" s="2">
        <f aca="true" t="shared" si="36" ref="K47:N64">K4-K25</f>
        <v>1672</v>
      </c>
      <c r="L47" s="2">
        <f t="shared" si="36"/>
        <v>1921</v>
      </c>
      <c r="M47" s="2">
        <f t="shared" si="36"/>
        <v>1</v>
      </c>
      <c r="N47" s="2">
        <f t="shared" si="36"/>
        <v>3594</v>
      </c>
      <c r="P47" s="9">
        <f>A47</f>
        <v>1983</v>
      </c>
      <c r="Q47" s="2">
        <f aca="true" t="shared" si="37" ref="Q47:Q64">(B47/$H47)*100</f>
        <v>46.521981079577074</v>
      </c>
      <c r="R47" s="2">
        <f aca="true" t="shared" si="38" ref="R47:R64">(C47/$H47)*100</f>
        <v>53.45019476905954</v>
      </c>
      <c r="S47" s="1">
        <f aca="true" t="shared" si="39" ref="S47:S64">(D47/$H47)*100</f>
        <v>0</v>
      </c>
      <c r="T47" s="1">
        <f aca="true" t="shared" si="40" ref="T47:T64">(E47/$H47)*100</f>
        <v>0</v>
      </c>
      <c r="U47" s="1">
        <f aca="true" t="shared" si="41" ref="U47:U64">(F47/$H47)*100</f>
        <v>0.02782415136338342</v>
      </c>
      <c r="V47" s="1">
        <f aca="true" t="shared" si="42" ref="V47:V64">(G47/$H47)*100</f>
        <v>0</v>
      </c>
      <c r="W47" s="2">
        <f aca="true" t="shared" si="43" ref="W47:W64">(H47/$H47)*100</f>
        <v>100</v>
      </c>
      <c r="Z47" s="9">
        <v>1983</v>
      </c>
      <c r="AA47" s="2">
        <f>AA25</f>
        <v>4066112</v>
      </c>
      <c r="AB47" s="2">
        <f aca="true" t="shared" si="44" ref="AB47:AG47">AB25</f>
        <v>1539592</v>
      </c>
      <c r="AC47" s="1">
        <f t="shared" si="44"/>
        <v>9408</v>
      </c>
      <c r="AD47" s="1">
        <f t="shared" si="44"/>
        <v>40057</v>
      </c>
      <c r="AE47" s="1">
        <f t="shared" si="44"/>
        <v>73095</v>
      </c>
      <c r="AF47" s="1"/>
      <c r="AG47" s="2">
        <f t="shared" si="44"/>
        <v>5728264</v>
      </c>
      <c r="AJ47" s="9">
        <v>1983</v>
      </c>
      <c r="AK47" s="1">
        <f>(B47/AA47)*100000</f>
        <v>41.12036264618387</v>
      </c>
      <c r="AL47" s="1">
        <f aca="true" t="shared" si="45" ref="AL47:AL62">(C47/AB47)*100000</f>
        <v>124.77331656698658</v>
      </c>
      <c r="AM47" s="1">
        <f aca="true" t="shared" si="46" ref="AM47:AM62">(D47/AC47)*100000</f>
        <v>0</v>
      </c>
      <c r="AN47" s="1">
        <f aca="true" t="shared" si="47" ref="AN47:AN62">(E47/AD47)*100000</f>
        <v>0</v>
      </c>
      <c r="AO47" s="1">
        <f aca="true" t="shared" si="48" ref="AO47:AO62">(F47/AE47)*100000</f>
        <v>1.3680826321909842</v>
      </c>
      <c r="AP47" s="1"/>
      <c r="AQ47" s="1">
        <f aca="true" t="shared" si="49" ref="AQ47:AQ63">(H47/AG47)*100000</f>
        <v>62.7415216896428</v>
      </c>
      <c r="AR47" s="1">
        <f>(SUM(D47:F47)/SUM(AC47:AE47))*100000</f>
        <v>0.8159268929503917</v>
      </c>
    </row>
    <row r="48" spans="1:44" ht="12.75">
      <c r="A48" s="9">
        <v>1984</v>
      </c>
      <c r="B48" s="2">
        <f t="shared" si="35"/>
        <v>2689</v>
      </c>
      <c r="C48" s="2">
        <f t="shared" si="35"/>
        <v>2712</v>
      </c>
      <c r="D48">
        <f t="shared" si="35"/>
        <v>0</v>
      </c>
      <c r="E48">
        <f t="shared" si="35"/>
        <v>0</v>
      </c>
      <c r="F48">
        <f t="shared" si="35"/>
        <v>3</v>
      </c>
      <c r="H48" s="2">
        <f t="shared" si="35"/>
        <v>5404</v>
      </c>
      <c r="J48" s="9">
        <v>1984</v>
      </c>
      <c r="K48" s="2">
        <f t="shared" si="36"/>
        <v>2689</v>
      </c>
      <c r="L48" s="2">
        <f t="shared" si="36"/>
        <v>2712</v>
      </c>
      <c r="M48" s="2">
        <f t="shared" si="36"/>
        <v>3</v>
      </c>
      <c r="N48" s="2">
        <f t="shared" si="36"/>
        <v>5404</v>
      </c>
      <c r="P48" s="9">
        <f aca="true" t="shared" si="50" ref="P48:P64">A48</f>
        <v>1984</v>
      </c>
      <c r="Q48" s="2">
        <f t="shared" si="37"/>
        <v>49.759437453737974</v>
      </c>
      <c r="R48" s="2">
        <f t="shared" si="38"/>
        <v>50.18504811250926</v>
      </c>
      <c r="S48" s="1">
        <f t="shared" si="39"/>
        <v>0</v>
      </c>
      <c r="T48" s="1">
        <f t="shared" si="40"/>
        <v>0</v>
      </c>
      <c r="U48" s="1">
        <f t="shared" si="41"/>
        <v>0.05551443375277572</v>
      </c>
      <c r="V48" s="1">
        <f t="shared" si="42"/>
        <v>0</v>
      </c>
      <c r="W48" s="2">
        <f t="shared" si="43"/>
        <v>100</v>
      </c>
      <c r="Z48" s="9">
        <v>1984</v>
      </c>
      <c r="AA48" s="2">
        <f aca="true" t="shared" si="51" ref="AA48:AG63">AA26</f>
        <v>4134531</v>
      </c>
      <c r="AB48" s="2">
        <f t="shared" si="51"/>
        <v>1567887</v>
      </c>
      <c r="AC48" s="1">
        <f t="shared" si="51"/>
        <v>9996</v>
      </c>
      <c r="AD48" s="1">
        <f t="shared" si="51"/>
        <v>44610</v>
      </c>
      <c r="AE48" s="1">
        <f t="shared" si="51"/>
        <v>77938</v>
      </c>
      <c r="AF48" s="1"/>
      <c r="AG48" s="2">
        <f t="shared" si="51"/>
        <v>5834962</v>
      </c>
      <c r="AJ48" s="9">
        <v>1984</v>
      </c>
      <c r="AK48" s="1">
        <f aca="true" t="shared" si="52" ref="AK48:AK63">(B48/AA48)*100000</f>
        <v>65.03760644193984</v>
      </c>
      <c r="AL48" s="1">
        <f t="shared" si="45"/>
        <v>172.97164910481433</v>
      </c>
      <c r="AM48" s="1">
        <f t="shared" si="46"/>
        <v>0</v>
      </c>
      <c r="AN48" s="1">
        <f t="shared" si="47"/>
        <v>0</v>
      </c>
      <c r="AO48" s="1">
        <f t="shared" si="48"/>
        <v>3.8492134773794553</v>
      </c>
      <c r="AP48" s="1"/>
      <c r="AQ48" s="1">
        <f t="shared" si="49"/>
        <v>92.61414213151689</v>
      </c>
      <c r="AR48" s="1">
        <f aca="true" t="shared" si="53" ref="AR48:AR63">(SUM(D48:F48)/SUM(AC48:AE48))*100000</f>
        <v>2.2633993239980685</v>
      </c>
    </row>
    <row r="49" spans="1:44" ht="12.75">
      <c r="A49" s="9">
        <v>1985</v>
      </c>
      <c r="B49" s="2"/>
      <c r="C49" s="2"/>
      <c r="H49" s="2"/>
      <c r="J49" s="9">
        <v>1985</v>
      </c>
      <c r="K49" s="2"/>
      <c r="L49" s="2"/>
      <c r="M49" s="2"/>
      <c r="N49" s="2"/>
      <c r="O49" s="2"/>
      <c r="P49" s="9">
        <f t="shared" si="50"/>
        <v>1985</v>
      </c>
      <c r="Q49" s="2"/>
      <c r="R49" s="2"/>
      <c r="S49" s="1"/>
      <c r="T49" s="1"/>
      <c r="U49" s="1"/>
      <c r="V49" s="1"/>
      <c r="W49" s="2"/>
      <c r="Z49" s="9">
        <v>1985</v>
      </c>
      <c r="AA49" s="2">
        <f t="shared" si="51"/>
        <v>4218275</v>
      </c>
      <c r="AB49" s="2">
        <f t="shared" si="51"/>
        <v>1600794</v>
      </c>
      <c r="AC49" s="1">
        <f t="shared" si="51"/>
        <v>10660</v>
      </c>
      <c r="AD49" s="1">
        <f t="shared" si="51"/>
        <v>49861</v>
      </c>
      <c r="AE49" s="1">
        <f t="shared" si="51"/>
        <v>83086</v>
      </c>
      <c r="AF49" s="1"/>
      <c r="AG49" s="2">
        <f t="shared" si="51"/>
        <v>5962676</v>
      </c>
      <c r="AJ49" s="9">
        <v>1985</v>
      </c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9">
        <v>1986</v>
      </c>
      <c r="B50" s="2"/>
      <c r="C50" s="2"/>
      <c r="H50" s="2"/>
      <c r="J50" s="9">
        <v>1986</v>
      </c>
      <c r="K50" s="2"/>
      <c r="L50" s="2"/>
      <c r="M50" s="2"/>
      <c r="N50" s="2"/>
      <c r="O50" s="2"/>
      <c r="P50" s="9">
        <f t="shared" si="50"/>
        <v>1986</v>
      </c>
      <c r="Q50" s="2"/>
      <c r="R50" s="2"/>
      <c r="S50" s="1"/>
      <c r="T50" s="1"/>
      <c r="U50" s="1"/>
      <c r="V50" s="1"/>
      <c r="W50" s="2"/>
      <c r="Z50" s="9">
        <v>1986</v>
      </c>
      <c r="AA50" s="2">
        <f t="shared" si="51"/>
        <v>4300604</v>
      </c>
      <c r="AB50" s="2">
        <f t="shared" si="51"/>
        <v>1629524</v>
      </c>
      <c r="AC50" s="1">
        <f t="shared" si="51"/>
        <v>11188</v>
      </c>
      <c r="AD50" s="1">
        <f t="shared" si="51"/>
        <v>54910</v>
      </c>
      <c r="AE50" s="1">
        <f t="shared" si="51"/>
        <v>88440</v>
      </c>
      <c r="AF50" s="1"/>
      <c r="AG50" s="2">
        <f t="shared" si="51"/>
        <v>6084666</v>
      </c>
      <c r="AJ50" s="9">
        <v>1986</v>
      </c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9">
        <v>1987</v>
      </c>
      <c r="B51" s="2">
        <f t="shared" si="35"/>
        <v>2575</v>
      </c>
      <c r="C51" s="2">
        <f t="shared" si="35"/>
        <v>3271</v>
      </c>
      <c r="D51">
        <f t="shared" si="35"/>
        <v>0</v>
      </c>
      <c r="E51">
        <f t="shared" si="35"/>
        <v>0</v>
      </c>
      <c r="F51">
        <f t="shared" si="35"/>
        <v>0</v>
      </c>
      <c r="H51" s="2">
        <f t="shared" si="35"/>
        <v>5846</v>
      </c>
      <c r="J51" s="9">
        <v>1987</v>
      </c>
      <c r="K51" s="2">
        <f t="shared" si="36"/>
        <v>2575</v>
      </c>
      <c r="L51" s="2">
        <f t="shared" si="36"/>
        <v>3271</v>
      </c>
      <c r="M51" s="2">
        <f t="shared" si="36"/>
        <v>0</v>
      </c>
      <c r="N51" s="2">
        <f t="shared" si="36"/>
        <v>5846</v>
      </c>
      <c r="O51" s="2"/>
      <c r="P51" s="9">
        <f t="shared" si="50"/>
        <v>1987</v>
      </c>
      <c r="Q51" s="2">
        <f t="shared" si="37"/>
        <v>44.047211768730754</v>
      </c>
      <c r="R51" s="2">
        <f t="shared" si="38"/>
        <v>55.952788231269246</v>
      </c>
      <c r="S51" s="1">
        <f t="shared" si="39"/>
        <v>0</v>
      </c>
      <c r="T51" s="1">
        <f t="shared" si="40"/>
        <v>0</v>
      </c>
      <c r="U51" s="1">
        <f t="shared" si="41"/>
        <v>0</v>
      </c>
      <c r="V51" s="1">
        <f t="shared" si="42"/>
        <v>0</v>
      </c>
      <c r="W51" s="2">
        <f t="shared" si="43"/>
        <v>100</v>
      </c>
      <c r="Z51" s="9">
        <v>1987</v>
      </c>
      <c r="AA51" s="2">
        <f t="shared" si="51"/>
        <v>4383235</v>
      </c>
      <c r="AB51" s="2">
        <f t="shared" si="51"/>
        <v>1659852</v>
      </c>
      <c r="AC51" s="1">
        <f t="shared" si="51"/>
        <v>11666</v>
      </c>
      <c r="AD51" s="1">
        <f t="shared" si="51"/>
        <v>59771</v>
      </c>
      <c r="AE51" s="1">
        <f t="shared" si="51"/>
        <v>93958</v>
      </c>
      <c r="AF51" s="1"/>
      <c r="AG51" s="2">
        <f t="shared" si="51"/>
        <v>6208482</v>
      </c>
      <c r="AJ51" s="9">
        <v>1987</v>
      </c>
      <c r="AK51" s="1">
        <f t="shared" si="52"/>
        <v>58.746565037010335</v>
      </c>
      <c r="AL51" s="1">
        <f t="shared" si="45"/>
        <v>197.06576248966775</v>
      </c>
      <c r="AM51" s="1">
        <f t="shared" si="46"/>
        <v>0</v>
      </c>
      <c r="AN51" s="1">
        <f t="shared" si="47"/>
        <v>0</v>
      </c>
      <c r="AO51" s="1">
        <f t="shared" si="48"/>
        <v>0</v>
      </c>
      <c r="AP51" s="1"/>
      <c r="AQ51" s="1">
        <f t="shared" si="49"/>
        <v>94.16150356882729</v>
      </c>
      <c r="AR51" s="1">
        <f t="shared" si="53"/>
        <v>0</v>
      </c>
    </row>
    <row r="52" spans="1:44" ht="12.75">
      <c r="A52" s="9">
        <v>1988</v>
      </c>
      <c r="B52" s="2">
        <f t="shared" si="35"/>
        <v>3915</v>
      </c>
      <c r="C52" s="2">
        <f t="shared" si="35"/>
        <v>5846</v>
      </c>
      <c r="D52">
        <f t="shared" si="35"/>
        <v>2</v>
      </c>
      <c r="E52">
        <f t="shared" si="35"/>
        <v>0</v>
      </c>
      <c r="F52">
        <f t="shared" si="35"/>
        <v>28</v>
      </c>
      <c r="H52" s="2">
        <f t="shared" si="35"/>
        <v>9791</v>
      </c>
      <c r="J52" s="9">
        <v>1988</v>
      </c>
      <c r="K52" s="2">
        <f t="shared" si="36"/>
        <v>3915</v>
      </c>
      <c r="L52" s="2">
        <f t="shared" si="36"/>
        <v>5846</v>
      </c>
      <c r="M52" s="2">
        <f t="shared" si="36"/>
        <v>30</v>
      </c>
      <c r="N52" s="2">
        <f t="shared" si="36"/>
        <v>9791</v>
      </c>
      <c r="O52" s="2"/>
      <c r="P52" s="9">
        <f t="shared" si="50"/>
        <v>1988</v>
      </c>
      <c r="Q52" s="2">
        <f t="shared" si="37"/>
        <v>39.98570115412113</v>
      </c>
      <c r="R52" s="2">
        <f t="shared" si="38"/>
        <v>59.70789500561741</v>
      </c>
      <c r="S52" s="1">
        <f t="shared" si="39"/>
        <v>0.02042692268409764</v>
      </c>
      <c r="T52" s="1">
        <f t="shared" si="40"/>
        <v>0</v>
      </c>
      <c r="U52" s="1">
        <f t="shared" si="41"/>
        <v>0.285976917577367</v>
      </c>
      <c r="V52" s="1">
        <f t="shared" si="42"/>
        <v>0</v>
      </c>
      <c r="W52" s="2">
        <f t="shared" si="43"/>
        <v>100</v>
      </c>
      <c r="Z52" s="9">
        <v>1988</v>
      </c>
      <c r="AA52" s="2">
        <f t="shared" si="51"/>
        <v>4450317</v>
      </c>
      <c r="AB52" s="2">
        <f t="shared" si="51"/>
        <v>1689293</v>
      </c>
      <c r="AC52" s="1">
        <f t="shared" si="51"/>
        <v>12105</v>
      </c>
      <c r="AD52" s="1">
        <f t="shared" si="51"/>
        <v>64871</v>
      </c>
      <c r="AE52" s="1">
        <f t="shared" si="51"/>
        <v>99577</v>
      </c>
      <c r="AF52" s="1"/>
      <c r="AG52" s="2">
        <f t="shared" si="51"/>
        <v>6316163</v>
      </c>
      <c r="AJ52" s="9">
        <v>1988</v>
      </c>
      <c r="AK52" s="1">
        <f t="shared" si="52"/>
        <v>87.97126137306624</v>
      </c>
      <c r="AL52" s="1">
        <f t="shared" si="45"/>
        <v>346.06193241788134</v>
      </c>
      <c r="AM52" s="1">
        <f t="shared" si="46"/>
        <v>16.522098306484924</v>
      </c>
      <c r="AN52" s="1">
        <f t="shared" si="47"/>
        <v>0</v>
      </c>
      <c r="AO52" s="1">
        <f t="shared" si="48"/>
        <v>28.118943129437522</v>
      </c>
      <c r="AP52" s="1"/>
      <c r="AQ52" s="1">
        <f t="shared" si="49"/>
        <v>155.01499882127806</v>
      </c>
      <c r="AR52" s="1">
        <f t="shared" si="53"/>
        <v>16.992064705782397</v>
      </c>
    </row>
    <row r="53" spans="1:44" ht="12.75">
      <c r="A53" s="9">
        <v>1989</v>
      </c>
      <c r="B53" s="2">
        <f t="shared" si="35"/>
        <v>2543</v>
      </c>
      <c r="C53" s="2">
        <f t="shared" si="35"/>
        <v>4492</v>
      </c>
      <c r="D53">
        <f t="shared" si="35"/>
        <v>0</v>
      </c>
      <c r="E53">
        <f t="shared" si="35"/>
        <v>0</v>
      </c>
      <c r="F53">
        <f t="shared" si="35"/>
        <v>13</v>
      </c>
      <c r="H53" s="2">
        <f t="shared" si="35"/>
        <v>7048</v>
      </c>
      <c r="J53" s="9">
        <v>1989</v>
      </c>
      <c r="K53" s="2">
        <f t="shared" si="36"/>
        <v>2543</v>
      </c>
      <c r="L53" s="2">
        <f t="shared" si="36"/>
        <v>4492</v>
      </c>
      <c r="M53" s="2">
        <f t="shared" si="36"/>
        <v>13</v>
      </c>
      <c r="N53" s="2">
        <f t="shared" si="36"/>
        <v>7048</v>
      </c>
      <c r="O53" s="2"/>
      <c r="P53" s="9">
        <f t="shared" si="50"/>
        <v>1989</v>
      </c>
      <c r="Q53" s="2">
        <f t="shared" si="37"/>
        <v>36.08115777525539</v>
      </c>
      <c r="R53" s="2">
        <f t="shared" si="38"/>
        <v>63.73439273552781</v>
      </c>
      <c r="S53" s="1">
        <f t="shared" si="39"/>
        <v>0</v>
      </c>
      <c r="T53" s="1">
        <f t="shared" si="40"/>
        <v>0</v>
      </c>
      <c r="U53" s="1">
        <f t="shared" si="41"/>
        <v>0.1844494892167991</v>
      </c>
      <c r="V53" s="1">
        <f t="shared" si="42"/>
        <v>0</v>
      </c>
      <c r="W53" s="2">
        <f t="shared" si="43"/>
        <v>100</v>
      </c>
      <c r="Z53" s="9">
        <v>1989</v>
      </c>
      <c r="AA53" s="2">
        <f t="shared" si="51"/>
        <v>4506133</v>
      </c>
      <c r="AB53" s="2">
        <f t="shared" si="51"/>
        <v>1717577</v>
      </c>
      <c r="AC53" s="1">
        <f t="shared" si="51"/>
        <v>12451</v>
      </c>
      <c r="AD53" s="1">
        <f t="shared" si="51"/>
        <v>70100</v>
      </c>
      <c r="AE53" s="1">
        <f t="shared" si="51"/>
        <v>104828</v>
      </c>
      <c r="AF53" s="1"/>
      <c r="AG53" s="2">
        <f t="shared" si="51"/>
        <v>6411089</v>
      </c>
      <c r="AJ53" s="9">
        <v>1989</v>
      </c>
      <c r="AK53" s="1">
        <f t="shared" si="52"/>
        <v>56.43419757028921</v>
      </c>
      <c r="AL53" s="1">
        <f t="shared" si="45"/>
        <v>261.53121519442794</v>
      </c>
      <c r="AM53" s="1">
        <f t="shared" si="46"/>
        <v>0</v>
      </c>
      <c r="AN53" s="1">
        <f t="shared" si="47"/>
        <v>0</v>
      </c>
      <c r="AO53" s="1">
        <f t="shared" si="48"/>
        <v>12.40126683710459</v>
      </c>
      <c r="AP53" s="1"/>
      <c r="AQ53" s="1">
        <f t="shared" si="49"/>
        <v>109.93452126464005</v>
      </c>
      <c r="AR53" s="1">
        <f t="shared" si="53"/>
        <v>6.937810533731102</v>
      </c>
    </row>
    <row r="54" spans="1:44" ht="12.75">
      <c r="A54" s="9">
        <v>1990</v>
      </c>
      <c r="B54" s="2">
        <f t="shared" si="35"/>
        <v>2833</v>
      </c>
      <c r="C54" s="2">
        <f t="shared" si="35"/>
        <v>5456</v>
      </c>
      <c r="D54">
        <f t="shared" si="35"/>
        <v>2</v>
      </c>
      <c r="E54">
        <f t="shared" si="35"/>
        <v>2</v>
      </c>
      <c r="F54">
        <f t="shared" si="35"/>
        <v>10</v>
      </c>
      <c r="H54" s="2">
        <f t="shared" si="35"/>
        <v>8303</v>
      </c>
      <c r="J54" s="9">
        <v>1990</v>
      </c>
      <c r="K54" s="2">
        <f t="shared" si="36"/>
        <v>2833</v>
      </c>
      <c r="L54" s="2">
        <f t="shared" si="36"/>
        <v>5456</v>
      </c>
      <c r="M54" s="2">
        <f t="shared" si="36"/>
        <v>14</v>
      </c>
      <c r="N54" s="2">
        <f t="shared" si="36"/>
        <v>8303</v>
      </c>
      <c r="O54" s="2"/>
      <c r="P54" s="9">
        <f t="shared" si="50"/>
        <v>1990</v>
      </c>
      <c r="Q54" s="2">
        <f t="shared" si="37"/>
        <v>34.12019751896905</v>
      </c>
      <c r="R54" s="2">
        <f t="shared" si="38"/>
        <v>65.71118872696616</v>
      </c>
      <c r="S54" s="1">
        <f t="shared" si="39"/>
        <v>0.024087679152113694</v>
      </c>
      <c r="T54" s="1">
        <f t="shared" si="40"/>
        <v>0.024087679152113694</v>
      </c>
      <c r="U54" s="1">
        <f t="shared" si="41"/>
        <v>0.12043839576056847</v>
      </c>
      <c r="V54" s="1">
        <f t="shared" si="42"/>
        <v>0</v>
      </c>
      <c r="W54" s="2">
        <f t="shared" si="43"/>
        <v>100</v>
      </c>
      <c r="Z54" s="9">
        <v>1990</v>
      </c>
      <c r="AA54" s="2">
        <f t="shared" si="51"/>
        <v>4560990</v>
      </c>
      <c r="AB54" s="2">
        <f t="shared" si="51"/>
        <v>1747806</v>
      </c>
      <c r="AC54" s="1">
        <f t="shared" si="51"/>
        <v>12703</v>
      </c>
      <c r="AD54" s="1">
        <f t="shared" si="51"/>
        <v>74986</v>
      </c>
      <c r="AE54" s="1">
        <f t="shared" si="51"/>
        <v>110046</v>
      </c>
      <c r="AF54" s="1"/>
      <c r="AG54" s="2">
        <f t="shared" si="51"/>
        <v>6506531</v>
      </c>
      <c r="AJ54" s="9">
        <v>1990</v>
      </c>
      <c r="AK54" s="1">
        <f t="shared" si="52"/>
        <v>62.113707769585105</v>
      </c>
      <c r="AL54" s="1">
        <f t="shared" si="45"/>
        <v>312.16279152262894</v>
      </c>
      <c r="AM54" s="1">
        <f t="shared" si="46"/>
        <v>15.744312367157363</v>
      </c>
      <c r="AN54" s="1">
        <f t="shared" si="47"/>
        <v>2.667164537380311</v>
      </c>
      <c r="AO54" s="1">
        <f t="shared" si="48"/>
        <v>9.087109027134108</v>
      </c>
      <c r="AP54" s="1"/>
      <c r="AQ54" s="1">
        <f t="shared" si="49"/>
        <v>127.61024269307255</v>
      </c>
      <c r="AR54" s="1">
        <f t="shared" si="53"/>
        <v>7.0801830733051805</v>
      </c>
    </row>
    <row r="55" spans="1:44" ht="12.75">
      <c r="A55" s="9">
        <v>1991</v>
      </c>
      <c r="B55" s="2">
        <f t="shared" si="35"/>
        <v>2784</v>
      </c>
      <c r="C55" s="2">
        <f t="shared" si="35"/>
        <v>5644</v>
      </c>
      <c r="D55">
        <f t="shared" si="35"/>
        <v>1</v>
      </c>
      <c r="E55">
        <f t="shared" si="35"/>
        <v>0</v>
      </c>
      <c r="F55">
        <f t="shared" si="35"/>
        <v>24</v>
      </c>
      <c r="H55" s="2">
        <f t="shared" si="35"/>
        <v>8453</v>
      </c>
      <c r="J55" s="9">
        <v>1991</v>
      </c>
      <c r="K55" s="2">
        <f t="shared" si="36"/>
        <v>2784</v>
      </c>
      <c r="L55" s="2">
        <f t="shared" si="36"/>
        <v>5644</v>
      </c>
      <c r="M55" s="2">
        <f t="shared" si="36"/>
        <v>25</v>
      </c>
      <c r="N55" s="2">
        <f t="shared" si="36"/>
        <v>8453</v>
      </c>
      <c r="O55" s="2"/>
      <c r="P55" s="9">
        <f t="shared" si="50"/>
        <v>1991</v>
      </c>
      <c r="Q55" s="2">
        <f t="shared" si="37"/>
        <v>32.93505264403171</v>
      </c>
      <c r="R55" s="2">
        <f t="shared" si="38"/>
        <v>66.76919436886313</v>
      </c>
      <c r="S55" s="1">
        <f t="shared" si="39"/>
        <v>0.01183011948420679</v>
      </c>
      <c r="T55" s="1">
        <f t="shared" si="40"/>
        <v>0</v>
      </c>
      <c r="U55" s="1">
        <f t="shared" si="41"/>
        <v>0.28392286762096297</v>
      </c>
      <c r="V55" s="1">
        <f t="shared" si="42"/>
        <v>0</v>
      </c>
      <c r="W55" s="2">
        <f t="shared" si="43"/>
        <v>100</v>
      </c>
      <c r="Z55" s="9">
        <v>1991</v>
      </c>
      <c r="AA55" s="2">
        <f t="shared" si="51"/>
        <v>4616130</v>
      </c>
      <c r="AB55" s="2">
        <f t="shared" si="51"/>
        <v>1792774</v>
      </c>
      <c r="AC55" s="1">
        <f t="shared" si="51"/>
        <v>12774</v>
      </c>
      <c r="AD55" s="1">
        <f t="shared" si="51"/>
        <v>80958</v>
      </c>
      <c r="AE55" s="1">
        <f t="shared" si="51"/>
        <v>118643</v>
      </c>
      <c r="AF55" s="1"/>
      <c r="AG55" s="2">
        <f t="shared" si="51"/>
        <v>6621279</v>
      </c>
      <c r="AJ55" s="9">
        <v>1991</v>
      </c>
      <c r="AK55" s="1">
        <f t="shared" si="52"/>
        <v>60.31025989302728</v>
      </c>
      <c r="AL55" s="1">
        <f t="shared" si="45"/>
        <v>314.8193804684807</v>
      </c>
      <c r="AM55" s="1">
        <f t="shared" si="46"/>
        <v>7.828401440425865</v>
      </c>
      <c r="AN55" s="1">
        <f t="shared" si="47"/>
        <v>0</v>
      </c>
      <c r="AO55" s="1">
        <f t="shared" si="48"/>
        <v>20.228753487352815</v>
      </c>
      <c r="AP55" s="1"/>
      <c r="AQ55" s="1">
        <f t="shared" si="49"/>
        <v>127.66415672863204</v>
      </c>
      <c r="AR55" s="1">
        <f t="shared" si="53"/>
        <v>11.771630370806356</v>
      </c>
    </row>
    <row r="56" spans="1:44" ht="12.75">
      <c r="A56" s="9">
        <v>1992</v>
      </c>
      <c r="B56" s="2">
        <f t="shared" si="35"/>
        <v>2887</v>
      </c>
      <c r="C56" s="2">
        <f t="shared" si="35"/>
        <v>5896</v>
      </c>
      <c r="D56">
        <f t="shared" si="35"/>
        <v>3</v>
      </c>
      <c r="E56">
        <f t="shared" si="35"/>
        <v>4</v>
      </c>
      <c r="F56">
        <f t="shared" si="35"/>
        <v>0</v>
      </c>
      <c r="H56" s="2">
        <f t="shared" si="35"/>
        <v>8790</v>
      </c>
      <c r="J56" s="9">
        <v>1992</v>
      </c>
      <c r="K56" s="2">
        <f t="shared" si="36"/>
        <v>2887</v>
      </c>
      <c r="L56" s="2">
        <f t="shared" si="36"/>
        <v>5896</v>
      </c>
      <c r="M56" s="2">
        <f t="shared" si="36"/>
        <v>7</v>
      </c>
      <c r="N56" s="2">
        <f t="shared" si="36"/>
        <v>8790</v>
      </c>
      <c r="O56" s="2"/>
      <c r="P56" s="9">
        <f t="shared" si="50"/>
        <v>1992</v>
      </c>
      <c r="Q56" s="2">
        <f t="shared" si="37"/>
        <v>32.84414106939704</v>
      </c>
      <c r="R56" s="2">
        <f t="shared" si="38"/>
        <v>67.07622298065984</v>
      </c>
      <c r="S56" s="1">
        <f t="shared" si="39"/>
        <v>0.034129692832764506</v>
      </c>
      <c r="T56" s="1">
        <f t="shared" si="40"/>
        <v>0.04550625711035267</v>
      </c>
      <c r="U56" s="1">
        <f t="shared" si="41"/>
        <v>0</v>
      </c>
      <c r="V56" s="1">
        <f t="shared" si="42"/>
        <v>0</v>
      </c>
      <c r="W56" s="2">
        <f t="shared" si="43"/>
        <v>100</v>
      </c>
      <c r="Z56" s="9">
        <v>1992</v>
      </c>
      <c r="AA56" s="2">
        <f t="shared" si="51"/>
        <v>4686847</v>
      </c>
      <c r="AB56" s="2">
        <f t="shared" si="51"/>
        <v>1841545</v>
      </c>
      <c r="AC56" s="1">
        <f t="shared" si="51"/>
        <v>13230</v>
      </c>
      <c r="AD56" s="1">
        <f t="shared" si="51"/>
        <v>88668</v>
      </c>
      <c r="AE56" s="1">
        <f t="shared" si="51"/>
        <v>129184</v>
      </c>
      <c r="AF56" s="1"/>
      <c r="AG56" s="2">
        <f t="shared" si="51"/>
        <v>6759474</v>
      </c>
      <c r="AJ56" s="9">
        <v>1992</v>
      </c>
      <c r="AK56" s="1">
        <f t="shared" si="52"/>
        <v>61.59791433345274</v>
      </c>
      <c r="AL56" s="1">
        <f t="shared" si="45"/>
        <v>320.1659476146388</v>
      </c>
      <c r="AM56" s="1">
        <f t="shared" si="46"/>
        <v>22.67573696145125</v>
      </c>
      <c r="AN56" s="1">
        <f t="shared" si="47"/>
        <v>4.511210357738982</v>
      </c>
      <c r="AO56" s="1">
        <f t="shared" si="48"/>
        <v>0</v>
      </c>
      <c r="AP56" s="1"/>
      <c r="AQ56" s="1">
        <f t="shared" si="49"/>
        <v>130.03970427284727</v>
      </c>
      <c r="AR56" s="1">
        <f t="shared" si="53"/>
        <v>3.029227720030119</v>
      </c>
    </row>
    <row r="57" spans="1:44" ht="12.75">
      <c r="A57" s="9">
        <v>1993</v>
      </c>
      <c r="B57" s="2">
        <f aca="true" t="shared" si="54" ref="B57:H63">B14-B35</f>
        <v>2448</v>
      </c>
      <c r="C57" s="2">
        <f t="shared" si="54"/>
        <v>5348</v>
      </c>
      <c r="D57">
        <f t="shared" si="54"/>
        <v>3</v>
      </c>
      <c r="E57">
        <f t="shared" si="54"/>
        <v>1</v>
      </c>
      <c r="F57">
        <f t="shared" si="54"/>
        <v>22</v>
      </c>
      <c r="H57" s="2">
        <f t="shared" si="54"/>
        <v>7822</v>
      </c>
      <c r="J57" s="9">
        <v>1993</v>
      </c>
      <c r="K57" s="2">
        <f t="shared" si="36"/>
        <v>2448</v>
      </c>
      <c r="L57" s="2">
        <f t="shared" si="36"/>
        <v>5348</v>
      </c>
      <c r="M57" s="2">
        <f t="shared" si="36"/>
        <v>26</v>
      </c>
      <c r="N57" s="2">
        <f t="shared" si="36"/>
        <v>7822</v>
      </c>
      <c r="O57" s="2"/>
      <c r="P57" s="9">
        <f t="shared" si="50"/>
        <v>1993</v>
      </c>
      <c r="Q57" s="2">
        <f t="shared" si="37"/>
        <v>31.296343646126314</v>
      </c>
      <c r="R57" s="2">
        <f t="shared" si="38"/>
        <v>68.37126054717464</v>
      </c>
      <c r="S57" s="1">
        <f t="shared" si="39"/>
        <v>0.0383533623114293</v>
      </c>
      <c r="T57" s="1">
        <f t="shared" si="40"/>
        <v>0.012784454103809769</v>
      </c>
      <c r="U57" s="1">
        <f t="shared" si="41"/>
        <v>0.2812579902838149</v>
      </c>
      <c r="V57" s="1">
        <f t="shared" si="42"/>
        <v>0</v>
      </c>
      <c r="W57" s="2">
        <f t="shared" si="43"/>
        <v>100</v>
      </c>
      <c r="Z57" s="9">
        <v>1993</v>
      </c>
      <c r="AA57" s="2">
        <f t="shared" si="51"/>
        <v>4751956</v>
      </c>
      <c r="AB57" s="2">
        <f t="shared" si="51"/>
        <v>1893269</v>
      </c>
      <c r="AC57" s="1">
        <f t="shared" si="51"/>
        <v>13619</v>
      </c>
      <c r="AD57" s="1">
        <f t="shared" si="51"/>
        <v>96669</v>
      </c>
      <c r="AE57" s="1">
        <f t="shared" si="51"/>
        <v>138579</v>
      </c>
      <c r="AF57" s="1"/>
      <c r="AG57" s="2">
        <f t="shared" si="51"/>
        <v>6894092</v>
      </c>
      <c r="AJ57" s="9">
        <v>1993</v>
      </c>
      <c r="AK57" s="1">
        <f t="shared" si="52"/>
        <v>51.51562851171181</v>
      </c>
      <c r="AL57" s="1">
        <f t="shared" si="45"/>
        <v>282.47438689378</v>
      </c>
      <c r="AM57" s="1">
        <f t="shared" si="46"/>
        <v>22.028049049122547</v>
      </c>
      <c r="AN57" s="1">
        <f t="shared" si="47"/>
        <v>1.034457788949922</v>
      </c>
      <c r="AO57" s="1">
        <f t="shared" si="48"/>
        <v>15.875421239870398</v>
      </c>
      <c r="AP57" s="1"/>
      <c r="AQ57" s="1">
        <f t="shared" si="49"/>
        <v>113.45946645330524</v>
      </c>
      <c r="AR57" s="1">
        <f t="shared" si="53"/>
        <v>10.44734737831854</v>
      </c>
    </row>
    <row r="58" spans="1:44" ht="12.75">
      <c r="A58" s="9">
        <v>1994</v>
      </c>
      <c r="B58" s="2">
        <f t="shared" si="54"/>
        <v>2403</v>
      </c>
      <c r="C58" s="2">
        <f t="shared" si="54"/>
        <v>5114</v>
      </c>
      <c r="D58">
        <f t="shared" si="54"/>
        <v>4</v>
      </c>
      <c r="E58">
        <f t="shared" si="54"/>
        <v>1</v>
      </c>
      <c r="F58">
        <f t="shared" si="54"/>
        <v>31</v>
      </c>
      <c r="H58" s="2">
        <f t="shared" si="54"/>
        <v>7553</v>
      </c>
      <c r="J58" s="9">
        <v>1994</v>
      </c>
      <c r="K58" s="2">
        <f t="shared" si="36"/>
        <v>2403</v>
      </c>
      <c r="L58" s="2">
        <f t="shared" si="36"/>
        <v>5114</v>
      </c>
      <c r="M58" s="2">
        <f t="shared" si="36"/>
        <v>36</v>
      </c>
      <c r="N58" s="2">
        <f t="shared" si="36"/>
        <v>7553</v>
      </c>
      <c r="O58" s="2"/>
      <c r="P58" s="9">
        <f t="shared" si="50"/>
        <v>1994</v>
      </c>
      <c r="Q58" s="2">
        <f t="shared" si="37"/>
        <v>31.8151727790282</v>
      </c>
      <c r="R58" s="2">
        <f t="shared" si="38"/>
        <v>67.7081954190388</v>
      </c>
      <c r="S58" s="1">
        <f t="shared" si="39"/>
        <v>0.052959089103667416</v>
      </c>
      <c r="T58" s="1">
        <f t="shared" si="40"/>
        <v>0.013239772275916854</v>
      </c>
      <c r="U58" s="1">
        <f t="shared" si="41"/>
        <v>0.41043294055342244</v>
      </c>
      <c r="V58" s="1">
        <f t="shared" si="42"/>
        <v>0</v>
      </c>
      <c r="W58" s="2">
        <f t="shared" si="43"/>
        <v>100</v>
      </c>
      <c r="Z58" s="9">
        <v>1994</v>
      </c>
      <c r="AA58" s="2">
        <f t="shared" si="51"/>
        <v>4826583</v>
      </c>
      <c r="AB58" s="2">
        <f t="shared" si="51"/>
        <v>1949003</v>
      </c>
      <c r="AC58" s="1">
        <f t="shared" si="51"/>
        <v>13948</v>
      </c>
      <c r="AD58" s="1">
        <f t="shared" si="51"/>
        <v>106102</v>
      </c>
      <c r="AE58" s="1">
        <f t="shared" si="51"/>
        <v>150264</v>
      </c>
      <c r="AF58" s="1"/>
      <c r="AG58" s="2">
        <f t="shared" si="51"/>
        <v>7045900</v>
      </c>
      <c r="AJ58" s="9">
        <v>1994</v>
      </c>
      <c r="AK58" s="1">
        <f t="shared" si="52"/>
        <v>49.78677461881418</v>
      </c>
      <c r="AL58" s="1">
        <f t="shared" si="45"/>
        <v>262.3905658431516</v>
      </c>
      <c r="AM58" s="1">
        <f t="shared" si="46"/>
        <v>28.677946659019213</v>
      </c>
      <c r="AN58" s="1">
        <f t="shared" si="47"/>
        <v>0.9424893027464138</v>
      </c>
      <c r="AO58" s="1">
        <f t="shared" si="48"/>
        <v>20.630357237927914</v>
      </c>
      <c r="AP58" s="1"/>
      <c r="AQ58" s="1">
        <f t="shared" si="49"/>
        <v>107.19709334506592</v>
      </c>
      <c r="AR58" s="1">
        <f t="shared" si="53"/>
        <v>13.317845172651065</v>
      </c>
    </row>
    <row r="59" spans="1:44" ht="12.75">
      <c r="A59" s="9">
        <v>1995</v>
      </c>
      <c r="B59" s="2">
        <f t="shared" si="54"/>
        <v>2167</v>
      </c>
      <c r="C59" s="2">
        <f t="shared" si="54"/>
        <v>4864</v>
      </c>
      <c r="D59">
        <f t="shared" si="54"/>
        <v>8</v>
      </c>
      <c r="E59">
        <f t="shared" si="54"/>
        <v>2</v>
      </c>
      <c r="F59">
        <f t="shared" si="54"/>
        <v>19</v>
      </c>
      <c r="H59" s="2">
        <f t="shared" si="54"/>
        <v>7060</v>
      </c>
      <c r="J59" s="9">
        <v>1995</v>
      </c>
      <c r="K59" s="2">
        <f t="shared" si="36"/>
        <v>2167</v>
      </c>
      <c r="L59" s="2">
        <f t="shared" si="36"/>
        <v>4864</v>
      </c>
      <c r="M59" s="2">
        <f t="shared" si="36"/>
        <v>29</v>
      </c>
      <c r="N59" s="2">
        <f t="shared" si="36"/>
        <v>7060</v>
      </c>
      <c r="O59" s="2"/>
      <c r="P59" s="9">
        <f t="shared" si="50"/>
        <v>1995</v>
      </c>
      <c r="Q59" s="2">
        <f t="shared" si="37"/>
        <v>30.694050991501413</v>
      </c>
      <c r="R59" s="2">
        <f t="shared" si="38"/>
        <v>68.89518413597735</v>
      </c>
      <c r="S59" s="1">
        <f t="shared" si="39"/>
        <v>0.11331444759206798</v>
      </c>
      <c r="T59" s="1">
        <f t="shared" si="40"/>
        <v>0.028328611898016994</v>
      </c>
      <c r="U59" s="1">
        <f t="shared" si="41"/>
        <v>0.2691218130311615</v>
      </c>
      <c r="V59" s="1">
        <f t="shared" si="42"/>
        <v>0</v>
      </c>
      <c r="W59" s="2">
        <f t="shared" si="43"/>
        <v>100</v>
      </c>
      <c r="Z59" s="9">
        <v>1995</v>
      </c>
      <c r="AA59" s="2">
        <f t="shared" si="51"/>
        <v>4893111</v>
      </c>
      <c r="AB59" s="2">
        <f t="shared" si="51"/>
        <v>1998061</v>
      </c>
      <c r="AC59" s="1">
        <f t="shared" si="51"/>
        <v>14369</v>
      </c>
      <c r="AD59" s="1">
        <f t="shared" si="51"/>
        <v>115588</v>
      </c>
      <c r="AE59" s="1">
        <f t="shared" si="51"/>
        <v>167409</v>
      </c>
      <c r="AF59" s="1"/>
      <c r="AG59" s="2">
        <f t="shared" si="51"/>
        <v>7188538</v>
      </c>
      <c r="AJ59" s="9">
        <v>1995</v>
      </c>
      <c r="AK59" s="1">
        <f t="shared" si="52"/>
        <v>44.28675335589158</v>
      </c>
      <c r="AL59" s="1">
        <f t="shared" si="45"/>
        <v>243.43601121287085</v>
      </c>
      <c r="AM59" s="1">
        <f t="shared" si="46"/>
        <v>55.67541234602269</v>
      </c>
      <c r="AN59" s="1">
        <f t="shared" si="47"/>
        <v>1.7302834204242654</v>
      </c>
      <c r="AO59" s="1">
        <f t="shared" si="48"/>
        <v>11.349449551696743</v>
      </c>
      <c r="AP59" s="1"/>
      <c r="AQ59" s="1">
        <f t="shared" si="49"/>
        <v>98.21190344963051</v>
      </c>
      <c r="AR59" s="1">
        <f t="shared" si="53"/>
        <v>9.752291788570314</v>
      </c>
    </row>
    <row r="60" spans="1:44" ht="12.75">
      <c r="A60" s="9">
        <v>1996</v>
      </c>
      <c r="B60" s="2">
        <f t="shared" si="54"/>
        <v>2920</v>
      </c>
      <c r="C60" s="2">
        <f t="shared" si="54"/>
        <v>6035</v>
      </c>
      <c r="D60">
        <f t="shared" si="54"/>
        <v>9</v>
      </c>
      <c r="E60">
        <f t="shared" si="54"/>
        <v>1</v>
      </c>
      <c r="F60">
        <f t="shared" si="54"/>
        <v>25</v>
      </c>
      <c r="H60" s="2">
        <f t="shared" si="54"/>
        <v>8990</v>
      </c>
      <c r="J60" s="9">
        <v>1996</v>
      </c>
      <c r="K60" s="2">
        <f t="shared" si="36"/>
        <v>2920</v>
      </c>
      <c r="L60" s="2">
        <f t="shared" si="36"/>
        <v>6035</v>
      </c>
      <c r="M60" s="2">
        <f t="shared" si="36"/>
        <v>35</v>
      </c>
      <c r="N60" s="2">
        <f t="shared" si="36"/>
        <v>8990</v>
      </c>
      <c r="O60" s="2"/>
      <c r="P60" s="9">
        <f t="shared" si="50"/>
        <v>1996</v>
      </c>
      <c r="Q60" s="2">
        <f t="shared" si="37"/>
        <v>32.48053392658509</v>
      </c>
      <c r="R60" s="2">
        <f t="shared" si="38"/>
        <v>67.1301446051168</v>
      </c>
      <c r="S60" s="1">
        <f t="shared" si="39"/>
        <v>0.10011123470522804</v>
      </c>
      <c r="T60" s="1">
        <f t="shared" si="40"/>
        <v>0.011123470522803115</v>
      </c>
      <c r="U60" s="1">
        <f t="shared" si="41"/>
        <v>0.27808676307007785</v>
      </c>
      <c r="V60" s="1">
        <f t="shared" si="42"/>
        <v>0</v>
      </c>
      <c r="W60" s="2">
        <f t="shared" si="43"/>
        <v>100</v>
      </c>
      <c r="Z60" s="9">
        <v>1996</v>
      </c>
      <c r="AA60" s="2">
        <f t="shared" si="51"/>
        <v>4958266</v>
      </c>
      <c r="AB60" s="2">
        <f t="shared" si="51"/>
        <v>2050148</v>
      </c>
      <c r="AC60" s="1">
        <f t="shared" si="51"/>
        <v>14780</v>
      </c>
      <c r="AD60" s="1">
        <f t="shared" si="51"/>
        <v>124367</v>
      </c>
      <c r="AE60" s="1">
        <f t="shared" si="51"/>
        <v>184664</v>
      </c>
      <c r="AF60" s="1"/>
      <c r="AG60" s="2">
        <f t="shared" si="51"/>
        <v>7332225</v>
      </c>
      <c r="AJ60" s="9">
        <v>1996</v>
      </c>
      <c r="AK60" s="1">
        <f t="shared" si="52"/>
        <v>58.891556039954295</v>
      </c>
      <c r="AL60" s="1">
        <f t="shared" si="45"/>
        <v>294.36899189717036</v>
      </c>
      <c r="AM60" s="1">
        <f t="shared" si="46"/>
        <v>60.893098782138026</v>
      </c>
      <c r="AN60" s="1">
        <f t="shared" si="47"/>
        <v>0.8040718196949351</v>
      </c>
      <c r="AO60" s="1">
        <f t="shared" si="48"/>
        <v>13.53810163323658</v>
      </c>
      <c r="AP60" s="1"/>
      <c r="AQ60" s="1">
        <f t="shared" si="49"/>
        <v>122.60943983579337</v>
      </c>
      <c r="AR60" s="1">
        <f t="shared" si="53"/>
        <v>10.808774254117372</v>
      </c>
    </row>
    <row r="61" spans="1:44" ht="12.75">
      <c r="A61" s="9">
        <v>1997</v>
      </c>
      <c r="B61" s="2"/>
      <c r="C61" s="2"/>
      <c r="H61" s="2"/>
      <c r="J61" s="9">
        <v>1997</v>
      </c>
      <c r="K61" s="2"/>
      <c r="L61" s="2"/>
      <c r="M61" s="2"/>
      <c r="N61" s="2"/>
      <c r="O61" s="2"/>
      <c r="P61" s="9">
        <f t="shared" si="50"/>
        <v>1997</v>
      </c>
      <c r="Q61" s="2"/>
      <c r="R61" s="2"/>
      <c r="S61" s="1"/>
      <c r="T61" s="1"/>
      <c r="U61" s="1"/>
      <c r="V61" s="1"/>
      <c r="W61" s="2"/>
      <c r="Z61" s="9">
        <v>1997</v>
      </c>
      <c r="AA61" s="2">
        <f t="shared" si="51"/>
        <v>5026613</v>
      </c>
      <c r="AB61" s="2">
        <f t="shared" si="51"/>
        <v>2105477</v>
      </c>
      <c r="AC61" s="1">
        <f t="shared" si="51"/>
        <v>14990</v>
      </c>
      <c r="AD61" s="1">
        <f t="shared" si="51"/>
        <v>133823</v>
      </c>
      <c r="AE61" s="1">
        <f t="shared" si="51"/>
        <v>205191</v>
      </c>
      <c r="AF61" s="1"/>
      <c r="AG61" s="2">
        <f t="shared" si="51"/>
        <v>7486094</v>
      </c>
      <c r="AJ61" s="9">
        <v>1997</v>
      </c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9">
        <v>1998</v>
      </c>
      <c r="B62" s="2">
        <f t="shared" si="54"/>
        <v>3026</v>
      </c>
      <c r="C62" s="2">
        <f t="shared" si="54"/>
        <v>6277</v>
      </c>
      <c r="D62">
        <f t="shared" si="54"/>
        <v>9</v>
      </c>
      <c r="E62">
        <f t="shared" si="54"/>
        <v>3</v>
      </c>
      <c r="F62">
        <f t="shared" si="54"/>
        <v>25</v>
      </c>
      <c r="H62" s="2">
        <f t="shared" si="54"/>
        <v>9340</v>
      </c>
      <c r="J62" s="9">
        <v>1998</v>
      </c>
      <c r="K62" s="2">
        <f t="shared" si="36"/>
        <v>3026</v>
      </c>
      <c r="L62" s="2">
        <f t="shared" si="36"/>
        <v>6277</v>
      </c>
      <c r="M62" s="2">
        <f t="shared" si="36"/>
        <v>37</v>
      </c>
      <c r="N62" s="2">
        <f t="shared" si="36"/>
        <v>9340</v>
      </c>
      <c r="O62" s="2"/>
      <c r="P62" s="9">
        <f t="shared" si="50"/>
        <v>1998</v>
      </c>
      <c r="Q62" s="2">
        <f t="shared" si="37"/>
        <v>32.3982869379015</v>
      </c>
      <c r="R62" s="2">
        <f t="shared" si="38"/>
        <v>67.20556745182013</v>
      </c>
      <c r="S62" s="1">
        <f t="shared" si="39"/>
        <v>0.09635974304068523</v>
      </c>
      <c r="T62" s="1">
        <f t="shared" si="40"/>
        <v>0.032119914346895075</v>
      </c>
      <c r="U62" s="1">
        <f t="shared" si="41"/>
        <v>0.26766595289079226</v>
      </c>
      <c r="V62" s="1">
        <f t="shared" si="42"/>
        <v>0</v>
      </c>
      <c r="W62" s="2">
        <f t="shared" si="43"/>
        <v>100</v>
      </c>
      <c r="Z62" s="9">
        <v>1998</v>
      </c>
      <c r="AA62" s="2">
        <f t="shared" si="51"/>
        <v>5095472</v>
      </c>
      <c r="AB62" s="2">
        <f t="shared" si="51"/>
        <v>2160382</v>
      </c>
      <c r="AC62" s="1">
        <f t="shared" si="51"/>
        <v>15527</v>
      </c>
      <c r="AD62" s="1">
        <f t="shared" si="51"/>
        <v>144229</v>
      </c>
      <c r="AE62" s="1">
        <f t="shared" si="51"/>
        <v>220912</v>
      </c>
      <c r="AF62" s="1"/>
      <c r="AG62" s="2">
        <f t="shared" si="51"/>
        <v>7636522</v>
      </c>
      <c r="AJ62" s="9">
        <v>1998</v>
      </c>
      <c r="AK62" s="1">
        <f t="shared" si="52"/>
        <v>59.38605883812137</v>
      </c>
      <c r="AL62" s="1">
        <f t="shared" si="45"/>
        <v>290.5504674636245</v>
      </c>
      <c r="AM62" s="1">
        <f t="shared" si="46"/>
        <v>57.96354736909899</v>
      </c>
      <c r="AN62" s="1">
        <f t="shared" si="47"/>
        <v>2.0800255149796505</v>
      </c>
      <c r="AO62" s="1">
        <f t="shared" si="48"/>
        <v>11.316723401173318</v>
      </c>
      <c r="AP62" s="1"/>
      <c r="AQ62" s="1">
        <f t="shared" si="49"/>
        <v>122.30698739557093</v>
      </c>
      <c r="AR62" s="1">
        <f t="shared" si="53"/>
        <v>9.719755797702986</v>
      </c>
    </row>
    <row r="63" spans="1:44" ht="12.75">
      <c r="A63" s="9">
        <v>1999</v>
      </c>
      <c r="B63" s="2">
        <f t="shared" si="54"/>
        <v>3850</v>
      </c>
      <c r="C63" s="2">
        <f t="shared" si="54"/>
        <v>8241</v>
      </c>
      <c r="D63">
        <f t="shared" si="54"/>
        <v>7</v>
      </c>
      <c r="E63">
        <f t="shared" si="54"/>
        <v>7</v>
      </c>
      <c r="F63">
        <f t="shared" si="54"/>
        <v>39</v>
      </c>
      <c r="H63" s="2">
        <f t="shared" si="54"/>
        <v>12144</v>
      </c>
      <c r="J63" s="9">
        <v>1999</v>
      </c>
      <c r="K63" s="2">
        <f t="shared" si="36"/>
        <v>3850</v>
      </c>
      <c r="L63" s="2">
        <f t="shared" si="36"/>
        <v>8241</v>
      </c>
      <c r="M63" s="2">
        <f t="shared" si="36"/>
        <v>53</v>
      </c>
      <c r="N63" s="2">
        <f t="shared" si="36"/>
        <v>12144</v>
      </c>
      <c r="O63" s="2"/>
      <c r="P63" s="9">
        <f t="shared" si="50"/>
        <v>1999</v>
      </c>
      <c r="Q63" s="2">
        <f t="shared" si="37"/>
        <v>31.70289855072464</v>
      </c>
      <c r="R63" s="2">
        <f t="shared" si="38"/>
        <v>67.8606719367589</v>
      </c>
      <c r="S63" s="1">
        <f t="shared" si="39"/>
        <v>0.05764163372859025</v>
      </c>
      <c r="T63" s="1">
        <f t="shared" si="40"/>
        <v>0.05764163372859025</v>
      </c>
      <c r="U63" s="1">
        <f t="shared" si="41"/>
        <v>0.32114624505928857</v>
      </c>
      <c r="V63" s="1">
        <f t="shared" si="42"/>
        <v>0</v>
      </c>
      <c r="W63" s="2">
        <f t="shared" si="43"/>
        <v>100</v>
      </c>
      <c r="Z63" s="9">
        <v>1999</v>
      </c>
      <c r="AA63" s="2">
        <f t="shared" si="51"/>
        <v>5162469</v>
      </c>
      <c r="AB63" s="2">
        <f t="shared" si="51"/>
        <v>2215435</v>
      </c>
      <c r="AC63" s="1">
        <f t="shared" si="51"/>
        <v>15867</v>
      </c>
      <c r="AD63" s="1">
        <f t="shared" si="51"/>
        <v>154903</v>
      </c>
      <c r="AE63" s="1">
        <f t="shared" si="51"/>
        <v>239566</v>
      </c>
      <c r="AF63" s="1"/>
      <c r="AG63" s="2">
        <f t="shared" si="51"/>
        <v>7788240</v>
      </c>
      <c r="AJ63" s="9">
        <v>1999</v>
      </c>
      <c r="AK63" s="1">
        <f t="shared" si="52"/>
        <v>74.57671900790106</v>
      </c>
      <c r="AL63" s="1">
        <f>(C63/AB63)*100000</f>
        <v>371.9811233459794</v>
      </c>
      <c r="AM63" s="1">
        <f>(D63/AC63)*100000</f>
        <v>44.11672023696981</v>
      </c>
      <c r="AN63" s="1">
        <f>(E63/AD63)*100000</f>
        <v>4.518957024718695</v>
      </c>
      <c r="AO63" s="1">
        <f>(F63/AE63)*100000</f>
        <v>16.279438651561573</v>
      </c>
      <c r="AP63" s="1"/>
      <c r="AQ63" s="1">
        <f t="shared" si="49"/>
        <v>155.92739823117932</v>
      </c>
      <c r="AR63" s="1">
        <f t="shared" si="53"/>
        <v>12.916244248615769</v>
      </c>
    </row>
    <row r="64" spans="1:23" s="4" customFormat="1" ht="12.75">
      <c r="A64" s="13" t="s">
        <v>13</v>
      </c>
      <c r="B64" s="21">
        <f aca="true" t="shared" si="55" ref="B64:G64">SUM(B47:B63)</f>
        <v>38712</v>
      </c>
      <c r="C64" s="21">
        <f t="shared" si="55"/>
        <v>71117</v>
      </c>
      <c r="D64" s="21">
        <f t="shared" si="55"/>
        <v>48</v>
      </c>
      <c r="E64" s="21">
        <f t="shared" si="55"/>
        <v>21</v>
      </c>
      <c r="F64" s="21">
        <f t="shared" si="55"/>
        <v>240</v>
      </c>
      <c r="G64" s="21">
        <f t="shared" si="55"/>
        <v>0</v>
      </c>
      <c r="H64" s="21">
        <f>SUM(B64:G64)</f>
        <v>110138</v>
      </c>
      <c r="J64" s="13" t="s">
        <v>13</v>
      </c>
      <c r="K64" s="21">
        <f t="shared" si="36"/>
        <v>38712</v>
      </c>
      <c r="L64" s="21">
        <f t="shared" si="36"/>
        <v>71117</v>
      </c>
      <c r="M64" s="21">
        <f t="shared" si="36"/>
        <v>309</v>
      </c>
      <c r="N64" s="21">
        <f t="shared" si="36"/>
        <v>110138</v>
      </c>
      <c r="O64" s="21"/>
      <c r="P64" s="13" t="str">
        <f t="shared" si="50"/>
        <v>Total</v>
      </c>
      <c r="Q64" s="21">
        <f t="shared" si="37"/>
        <v>35.14863171657375</v>
      </c>
      <c r="R64" s="21">
        <f t="shared" si="38"/>
        <v>64.57081116417585</v>
      </c>
      <c r="S64" s="23">
        <f t="shared" si="39"/>
        <v>0.04358168842724582</v>
      </c>
      <c r="T64" s="23">
        <f t="shared" si="40"/>
        <v>0.019066988686920045</v>
      </c>
      <c r="U64" s="23">
        <f t="shared" si="41"/>
        <v>0.2179084421362291</v>
      </c>
      <c r="V64" s="23">
        <f t="shared" si="42"/>
        <v>0</v>
      </c>
      <c r="W64" s="21">
        <f t="shared" si="43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3" t="str">
        <f>CONCATENATE("Parole &amp; Probation Admissions, All Races: ",$A$1)</f>
        <v>Parole &amp; Probation Admissions, All Races: GEORGIA</v>
      </c>
      <c r="B67" s="33"/>
      <c r="C67" s="33"/>
      <c r="D67" s="33"/>
      <c r="E67" s="33"/>
      <c r="F67" s="33"/>
      <c r="G67" s="33"/>
      <c r="H67" s="33"/>
      <c r="J67" s="33" t="str">
        <f>CONCATENATE("Parole &amp; Probation Admissions, BW + Balance: ",$A$1)</f>
        <v>Parole &amp; Probation Admissions, BW + Balance: GEORGIA</v>
      </c>
      <c r="K67" s="33"/>
      <c r="L67" s="33"/>
      <c r="M67" s="33"/>
      <c r="N67" s="33"/>
      <c r="O67" s="28"/>
      <c r="Z67" s="32" t="str">
        <f>CONCATENATE("Total Population, By Race: ",$A$1)</f>
        <v>Total Population, By Race: GEORGIA</v>
      </c>
      <c r="AA67" s="32"/>
      <c r="AB67" s="32"/>
      <c r="AC67" s="32"/>
      <c r="AD67" s="32"/>
      <c r="AE67" s="32"/>
      <c r="AF67" s="32"/>
      <c r="AG67" s="32"/>
      <c r="AJ67" s="32" t="str">
        <f>CONCATENATE("Parole &amp; Probation Admissions, per 100,000 By Race: ",$A$1)</f>
        <v>Parole &amp; Probation Admissions, per 100,000 By Race: GEORGIA</v>
      </c>
      <c r="AK67" s="32"/>
      <c r="AL67" s="32"/>
      <c r="AM67" s="32"/>
      <c r="AN67" s="32"/>
      <c r="AO67" s="32"/>
      <c r="AP67" s="32"/>
      <c r="AQ67" s="32"/>
      <c r="AR67" s="32"/>
    </row>
    <row r="68" spans="1:44" ht="12.75">
      <c r="A68" s="20" t="s">
        <v>25</v>
      </c>
      <c r="B68" s="19" t="s">
        <v>11</v>
      </c>
      <c r="C68" s="19" t="s">
        <v>12</v>
      </c>
      <c r="D68" s="19" t="s">
        <v>28</v>
      </c>
      <c r="E68" s="19" t="s">
        <v>29</v>
      </c>
      <c r="F68" s="19" t="s">
        <v>26</v>
      </c>
      <c r="G68" s="19" t="s">
        <v>27</v>
      </c>
      <c r="H68" s="19" t="s">
        <v>13</v>
      </c>
      <c r="J68" s="20" t="s">
        <v>25</v>
      </c>
      <c r="K68" s="19" t="s">
        <v>11</v>
      </c>
      <c r="L68" s="19" t="s">
        <v>12</v>
      </c>
      <c r="M68" s="19" t="s">
        <v>30</v>
      </c>
      <c r="N68" s="19" t="s">
        <v>13</v>
      </c>
      <c r="O68" s="2"/>
      <c r="Z68" s="20" t="s">
        <v>25</v>
      </c>
      <c r="AA68" s="19" t="s">
        <v>11</v>
      </c>
      <c r="AB68" s="19" t="s">
        <v>12</v>
      </c>
      <c r="AC68" s="19" t="s">
        <v>28</v>
      </c>
      <c r="AD68" s="19" t="s">
        <v>29</v>
      </c>
      <c r="AE68" s="19" t="s">
        <v>26</v>
      </c>
      <c r="AF68" s="19" t="s">
        <v>27</v>
      </c>
      <c r="AG68" s="19" t="s">
        <v>13</v>
      </c>
      <c r="AJ68" s="20" t="s">
        <v>25</v>
      </c>
      <c r="AK68" s="19" t="s">
        <v>11</v>
      </c>
      <c r="AL68" s="19" t="s">
        <v>12</v>
      </c>
      <c r="AM68" s="19" t="s">
        <v>28</v>
      </c>
      <c r="AN68" s="19" t="s">
        <v>29</v>
      </c>
      <c r="AO68" s="19" t="s">
        <v>26</v>
      </c>
      <c r="AP68" s="19" t="s">
        <v>27</v>
      </c>
      <c r="AQ68" s="19" t="s">
        <v>13</v>
      </c>
      <c r="AR68" s="19" t="s">
        <v>30</v>
      </c>
    </row>
    <row r="69" spans="1:44" ht="12.75">
      <c r="A69" s="9">
        <v>1983</v>
      </c>
      <c r="B69">
        <v>1672</v>
      </c>
      <c r="C69">
        <v>1921</v>
      </c>
      <c r="D69">
        <v>0</v>
      </c>
      <c r="E69">
        <v>0</v>
      </c>
      <c r="F69">
        <v>1</v>
      </c>
      <c r="H69" s="2">
        <f>SUM(B69:G69)</f>
        <v>3594</v>
      </c>
      <c r="J69" s="9">
        <v>1983</v>
      </c>
      <c r="K69" s="2">
        <f>B69</f>
        <v>1672</v>
      </c>
      <c r="L69" s="2">
        <f>C69</f>
        <v>1921</v>
      </c>
      <c r="M69" s="2">
        <f aca="true" t="shared" si="56" ref="M69:M86">N69-K69-L69</f>
        <v>1</v>
      </c>
      <c r="N69" s="2">
        <f>H69</f>
        <v>3594</v>
      </c>
      <c r="O69" s="2"/>
      <c r="Z69" s="9">
        <v>1983</v>
      </c>
      <c r="AA69" s="2">
        <f>AA47</f>
        <v>4066112</v>
      </c>
      <c r="AB69" s="2">
        <f aca="true" t="shared" si="57" ref="AB69:AG69">AB47</f>
        <v>1539592</v>
      </c>
      <c r="AC69" s="1">
        <f t="shared" si="57"/>
        <v>9408</v>
      </c>
      <c r="AD69" s="1">
        <f t="shared" si="57"/>
        <v>40057</v>
      </c>
      <c r="AE69" s="1">
        <f t="shared" si="57"/>
        <v>73095</v>
      </c>
      <c r="AF69" s="1"/>
      <c r="AG69" s="2">
        <f t="shared" si="57"/>
        <v>5728264</v>
      </c>
      <c r="AJ69" s="9">
        <v>1983</v>
      </c>
      <c r="AK69" s="1">
        <f>(B69/AA69)*100000</f>
        <v>41.12036264618387</v>
      </c>
      <c r="AL69" s="1">
        <f aca="true" t="shared" si="58" ref="AL69:AL84">(C69/AB69)*100000</f>
        <v>124.77331656698658</v>
      </c>
      <c r="AM69" s="1">
        <f aca="true" t="shared" si="59" ref="AM69:AM84">(D69/AC69)*100000</f>
        <v>0</v>
      </c>
      <c r="AN69" s="1">
        <f aca="true" t="shared" si="60" ref="AN69:AN84">(E69/AD69)*100000</f>
        <v>0</v>
      </c>
      <c r="AO69" s="1">
        <f aca="true" t="shared" si="61" ref="AO69:AO84">(F69/AE69)*100000</f>
        <v>1.3680826321909842</v>
      </c>
      <c r="AP69" s="1"/>
      <c r="AQ69" s="1">
        <f aca="true" t="shared" si="62" ref="AQ69:AQ85">(H69/AG69)*100000</f>
        <v>62.7415216896428</v>
      </c>
      <c r="AR69" s="1">
        <f>(SUM(D69:F69)/SUM(AC69:AE69))*100000</f>
        <v>0.8159268929503917</v>
      </c>
    </row>
    <row r="70" spans="1:44" ht="12.75">
      <c r="A70" s="9">
        <v>1984</v>
      </c>
      <c r="B70">
        <v>2574</v>
      </c>
      <c r="C70">
        <v>2621</v>
      </c>
      <c r="D70">
        <v>0</v>
      </c>
      <c r="E70">
        <v>0</v>
      </c>
      <c r="F70">
        <v>3</v>
      </c>
      <c r="H70" s="2"/>
      <c r="J70" s="9">
        <v>1984</v>
      </c>
      <c r="K70" s="2">
        <f aca="true" t="shared" si="63" ref="K70:K85">B70</f>
        <v>2574</v>
      </c>
      <c r="L70" s="2">
        <f aca="true" t="shared" si="64" ref="L70:L85">C70</f>
        <v>2621</v>
      </c>
      <c r="M70" s="2"/>
      <c r="N70" s="2"/>
      <c r="O70" s="2"/>
      <c r="Z70" s="9">
        <v>1984</v>
      </c>
      <c r="AA70" s="2">
        <f aca="true" t="shared" si="65" ref="AA70:AG85">AA48</f>
        <v>4134531</v>
      </c>
      <c r="AB70" s="2">
        <f t="shared" si="65"/>
        <v>1567887</v>
      </c>
      <c r="AC70" s="1">
        <f t="shared" si="65"/>
        <v>9996</v>
      </c>
      <c r="AD70" s="1">
        <f t="shared" si="65"/>
        <v>44610</v>
      </c>
      <c r="AE70" s="1">
        <f t="shared" si="65"/>
        <v>77938</v>
      </c>
      <c r="AF70" s="1"/>
      <c r="AG70" s="2">
        <f t="shared" si="65"/>
        <v>5834962</v>
      </c>
      <c r="AJ70" s="9">
        <v>1984</v>
      </c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9">
        <v>1985</v>
      </c>
      <c r="B71">
        <v>0</v>
      </c>
      <c r="C71">
        <v>0</v>
      </c>
      <c r="D71">
        <v>0</v>
      </c>
      <c r="E71">
        <v>0</v>
      </c>
      <c r="F71">
        <v>0</v>
      </c>
      <c r="H71" s="2"/>
      <c r="J71" s="9">
        <v>1985</v>
      </c>
      <c r="K71" s="2"/>
      <c r="L71" s="2"/>
      <c r="M71" s="2"/>
      <c r="N71" s="2"/>
      <c r="Z71" s="9">
        <v>1985</v>
      </c>
      <c r="AA71" s="2">
        <f t="shared" si="65"/>
        <v>4218275</v>
      </c>
      <c r="AB71" s="2">
        <f t="shared" si="65"/>
        <v>1600794</v>
      </c>
      <c r="AC71" s="1">
        <f t="shared" si="65"/>
        <v>10660</v>
      </c>
      <c r="AD71" s="1">
        <f t="shared" si="65"/>
        <v>49861</v>
      </c>
      <c r="AE71" s="1">
        <f t="shared" si="65"/>
        <v>83086</v>
      </c>
      <c r="AF71" s="1"/>
      <c r="AG71" s="2">
        <f t="shared" si="65"/>
        <v>5962676</v>
      </c>
      <c r="AJ71" s="9">
        <v>1985</v>
      </c>
      <c r="AK71" s="1"/>
      <c r="AL71" s="1"/>
      <c r="AM71" s="1"/>
      <c r="AN71" s="1"/>
      <c r="AO71" s="1"/>
      <c r="AP71" s="1"/>
      <c r="AQ71" s="1"/>
      <c r="AR71" s="1"/>
    </row>
    <row r="72" spans="1:44" ht="12.75">
      <c r="A72" s="9">
        <v>1986</v>
      </c>
      <c r="B72">
        <v>0</v>
      </c>
      <c r="C72">
        <v>0</v>
      </c>
      <c r="D72">
        <v>0</v>
      </c>
      <c r="E72">
        <v>0</v>
      </c>
      <c r="F72">
        <v>0</v>
      </c>
      <c r="H72" s="2"/>
      <c r="J72" s="9">
        <v>1986</v>
      </c>
      <c r="K72" s="2"/>
      <c r="L72" s="2"/>
      <c r="M72" s="2"/>
      <c r="N72" s="2"/>
      <c r="Z72" s="9">
        <v>1986</v>
      </c>
      <c r="AA72" s="2">
        <f t="shared" si="65"/>
        <v>4300604</v>
      </c>
      <c r="AB72" s="2">
        <f t="shared" si="65"/>
        <v>1629524</v>
      </c>
      <c r="AC72" s="1">
        <f t="shared" si="65"/>
        <v>11188</v>
      </c>
      <c r="AD72" s="1">
        <f t="shared" si="65"/>
        <v>54910</v>
      </c>
      <c r="AE72" s="1">
        <f t="shared" si="65"/>
        <v>88440</v>
      </c>
      <c r="AF72" s="1"/>
      <c r="AG72" s="2">
        <f t="shared" si="65"/>
        <v>6084666</v>
      </c>
      <c r="AJ72" s="9">
        <v>1986</v>
      </c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9">
        <v>1987</v>
      </c>
      <c r="B73">
        <v>2419</v>
      </c>
      <c r="C73">
        <v>3172</v>
      </c>
      <c r="D73">
        <v>0</v>
      </c>
      <c r="E73">
        <v>0</v>
      </c>
      <c r="F73">
        <v>0</v>
      </c>
      <c r="H73" s="2">
        <f aca="true" t="shared" si="66" ref="H73:H86">SUM(B73:G73)</f>
        <v>5591</v>
      </c>
      <c r="J73" s="9">
        <v>1987</v>
      </c>
      <c r="K73" s="2">
        <f t="shared" si="63"/>
        <v>2419</v>
      </c>
      <c r="L73" s="2">
        <f t="shared" si="64"/>
        <v>3172</v>
      </c>
      <c r="M73" s="2">
        <f t="shared" si="56"/>
        <v>0</v>
      </c>
      <c r="N73" s="2">
        <f aca="true" t="shared" si="67" ref="N73:N85">H73</f>
        <v>5591</v>
      </c>
      <c r="Z73" s="9">
        <v>1987</v>
      </c>
      <c r="AA73" s="2">
        <f t="shared" si="65"/>
        <v>4383235</v>
      </c>
      <c r="AB73" s="2">
        <f t="shared" si="65"/>
        <v>1659852</v>
      </c>
      <c r="AC73" s="1">
        <f t="shared" si="65"/>
        <v>11666</v>
      </c>
      <c r="AD73" s="1">
        <f t="shared" si="65"/>
        <v>59771</v>
      </c>
      <c r="AE73" s="1">
        <f t="shared" si="65"/>
        <v>93958</v>
      </c>
      <c r="AF73" s="1"/>
      <c r="AG73" s="2">
        <f t="shared" si="65"/>
        <v>6208482</v>
      </c>
      <c r="AJ73" s="9">
        <v>1987</v>
      </c>
      <c r="AK73" s="1">
        <f aca="true" t="shared" si="68" ref="AK73:AK85">(B73/AA73)*100000</f>
        <v>55.187549834768156</v>
      </c>
      <c r="AL73" s="1">
        <f t="shared" si="58"/>
        <v>191.1013753033403</v>
      </c>
      <c r="AM73" s="1">
        <f t="shared" si="59"/>
        <v>0</v>
      </c>
      <c r="AN73" s="1">
        <f t="shared" si="60"/>
        <v>0</v>
      </c>
      <c r="AO73" s="1">
        <f t="shared" si="61"/>
        <v>0</v>
      </c>
      <c r="AP73" s="1"/>
      <c r="AQ73" s="1">
        <f t="shared" si="62"/>
        <v>90.0542193727871</v>
      </c>
      <c r="AR73" s="1">
        <f aca="true" t="shared" si="69" ref="AR73:AR85">(SUM(D73:F73)/SUM(AC73:AE73))*100000</f>
        <v>0</v>
      </c>
    </row>
    <row r="74" spans="1:44" ht="12.75">
      <c r="A74" s="9">
        <v>1988</v>
      </c>
      <c r="B74">
        <v>3646</v>
      </c>
      <c r="C74">
        <v>5701</v>
      </c>
      <c r="D74">
        <v>2</v>
      </c>
      <c r="E74">
        <v>0</v>
      </c>
      <c r="F74">
        <v>23</v>
      </c>
      <c r="H74" s="2">
        <f t="shared" si="66"/>
        <v>9372</v>
      </c>
      <c r="J74" s="9">
        <v>1988</v>
      </c>
      <c r="K74" s="2">
        <f t="shared" si="63"/>
        <v>3646</v>
      </c>
      <c r="L74" s="2">
        <f t="shared" si="64"/>
        <v>5701</v>
      </c>
      <c r="M74" s="2">
        <f t="shared" si="56"/>
        <v>25</v>
      </c>
      <c r="N74" s="2">
        <f t="shared" si="67"/>
        <v>9372</v>
      </c>
      <c r="Z74" s="9">
        <v>1988</v>
      </c>
      <c r="AA74" s="2">
        <f t="shared" si="65"/>
        <v>4450317</v>
      </c>
      <c r="AB74" s="2">
        <f t="shared" si="65"/>
        <v>1689293</v>
      </c>
      <c r="AC74" s="1">
        <f t="shared" si="65"/>
        <v>12105</v>
      </c>
      <c r="AD74" s="1">
        <f t="shared" si="65"/>
        <v>64871</v>
      </c>
      <c r="AE74" s="1">
        <f t="shared" si="65"/>
        <v>99577</v>
      </c>
      <c r="AF74" s="1"/>
      <c r="AG74" s="2">
        <f t="shared" si="65"/>
        <v>6316163</v>
      </c>
      <c r="AJ74" s="9">
        <v>1988</v>
      </c>
      <c r="AK74" s="1">
        <f t="shared" si="68"/>
        <v>81.92674813951456</v>
      </c>
      <c r="AL74" s="1">
        <f t="shared" si="58"/>
        <v>337.47845992376693</v>
      </c>
      <c r="AM74" s="1">
        <f t="shared" si="59"/>
        <v>16.522098306484924</v>
      </c>
      <c r="AN74" s="1">
        <f t="shared" si="60"/>
        <v>0</v>
      </c>
      <c r="AO74" s="1">
        <f t="shared" si="61"/>
        <v>23.097703284895108</v>
      </c>
      <c r="AP74" s="1"/>
      <c r="AQ74" s="1">
        <f t="shared" si="62"/>
        <v>148.3812244870818</v>
      </c>
      <c r="AR74" s="1">
        <f t="shared" si="69"/>
        <v>14.160053921485332</v>
      </c>
    </row>
    <row r="75" spans="1:44" ht="12.75">
      <c r="A75" s="9">
        <v>1989</v>
      </c>
      <c r="B75">
        <v>2435</v>
      </c>
      <c r="C75">
        <v>4449</v>
      </c>
      <c r="D75">
        <v>0</v>
      </c>
      <c r="E75">
        <v>0</v>
      </c>
      <c r="F75">
        <v>11</v>
      </c>
      <c r="H75" s="2">
        <f t="shared" si="66"/>
        <v>6895</v>
      </c>
      <c r="J75" s="9">
        <v>1989</v>
      </c>
      <c r="K75" s="2">
        <f t="shared" si="63"/>
        <v>2435</v>
      </c>
      <c r="L75" s="2">
        <f t="shared" si="64"/>
        <v>4449</v>
      </c>
      <c r="M75" s="2">
        <f t="shared" si="56"/>
        <v>11</v>
      </c>
      <c r="N75" s="2">
        <f t="shared" si="67"/>
        <v>6895</v>
      </c>
      <c r="Z75" s="9">
        <v>1989</v>
      </c>
      <c r="AA75" s="2">
        <f t="shared" si="65"/>
        <v>4506133</v>
      </c>
      <c r="AB75" s="2">
        <f t="shared" si="65"/>
        <v>1717577</v>
      </c>
      <c r="AC75" s="1">
        <f t="shared" si="65"/>
        <v>12451</v>
      </c>
      <c r="AD75" s="1">
        <f t="shared" si="65"/>
        <v>70100</v>
      </c>
      <c r="AE75" s="1">
        <f t="shared" si="65"/>
        <v>104828</v>
      </c>
      <c r="AF75" s="1"/>
      <c r="AG75" s="2">
        <f t="shared" si="65"/>
        <v>6411089</v>
      </c>
      <c r="AJ75" s="9">
        <v>1989</v>
      </c>
      <c r="AK75" s="1">
        <f t="shared" si="68"/>
        <v>54.03746405177122</v>
      </c>
      <c r="AL75" s="1">
        <f t="shared" si="58"/>
        <v>259.0276884238669</v>
      </c>
      <c r="AM75" s="1">
        <f t="shared" si="59"/>
        <v>0</v>
      </c>
      <c r="AN75" s="1">
        <f t="shared" si="60"/>
        <v>0</v>
      </c>
      <c r="AO75" s="1">
        <f t="shared" si="61"/>
        <v>10.493379631396191</v>
      </c>
      <c r="AP75" s="1"/>
      <c r="AQ75" s="1">
        <f t="shared" si="62"/>
        <v>107.54803123151153</v>
      </c>
      <c r="AR75" s="1">
        <f t="shared" si="69"/>
        <v>5.870455067003239</v>
      </c>
    </row>
    <row r="76" spans="1:44" ht="12.75">
      <c r="A76" s="9">
        <v>1990</v>
      </c>
      <c r="B76">
        <v>2769</v>
      </c>
      <c r="C76">
        <v>5412</v>
      </c>
      <c r="D76">
        <v>2</v>
      </c>
      <c r="E76">
        <v>2</v>
      </c>
      <c r="F76">
        <v>10</v>
      </c>
      <c r="H76" s="2">
        <f t="shared" si="66"/>
        <v>8195</v>
      </c>
      <c r="J76" s="9">
        <v>1990</v>
      </c>
      <c r="K76" s="2">
        <f t="shared" si="63"/>
        <v>2769</v>
      </c>
      <c r="L76" s="2">
        <f t="shared" si="64"/>
        <v>5412</v>
      </c>
      <c r="M76" s="2">
        <f t="shared" si="56"/>
        <v>14</v>
      </c>
      <c r="N76" s="2">
        <f t="shared" si="67"/>
        <v>8195</v>
      </c>
      <c r="Z76" s="9">
        <v>1990</v>
      </c>
      <c r="AA76" s="2">
        <f t="shared" si="65"/>
        <v>4560990</v>
      </c>
      <c r="AB76" s="2">
        <f t="shared" si="65"/>
        <v>1747806</v>
      </c>
      <c r="AC76" s="1">
        <f t="shared" si="65"/>
        <v>12703</v>
      </c>
      <c r="AD76" s="1">
        <f t="shared" si="65"/>
        <v>74986</v>
      </c>
      <c r="AE76" s="1">
        <f t="shared" si="65"/>
        <v>110046</v>
      </c>
      <c r="AF76" s="1"/>
      <c r="AG76" s="2">
        <f t="shared" si="65"/>
        <v>6506531</v>
      </c>
      <c r="AJ76" s="9">
        <v>1990</v>
      </c>
      <c r="AK76" s="1">
        <f t="shared" si="68"/>
        <v>60.71050364065697</v>
      </c>
      <c r="AL76" s="1">
        <f t="shared" si="58"/>
        <v>309.645349655511</v>
      </c>
      <c r="AM76" s="1">
        <f t="shared" si="59"/>
        <v>15.744312367157363</v>
      </c>
      <c r="AN76" s="1">
        <f t="shared" si="60"/>
        <v>2.667164537380311</v>
      </c>
      <c r="AO76" s="1">
        <f t="shared" si="61"/>
        <v>9.087109027134108</v>
      </c>
      <c r="AP76" s="1"/>
      <c r="AQ76" s="1">
        <f t="shared" si="62"/>
        <v>125.95037201851493</v>
      </c>
      <c r="AR76" s="1">
        <f t="shared" si="69"/>
        <v>7.0801830733051805</v>
      </c>
    </row>
    <row r="77" spans="1:44" ht="12.75">
      <c r="A77" s="9">
        <v>1991</v>
      </c>
      <c r="B77">
        <v>2717</v>
      </c>
      <c r="C77">
        <v>5605</v>
      </c>
      <c r="D77">
        <v>1</v>
      </c>
      <c r="E77">
        <v>0</v>
      </c>
      <c r="F77">
        <v>23</v>
      </c>
      <c r="H77" s="2">
        <f t="shared" si="66"/>
        <v>8346</v>
      </c>
      <c r="J77" s="9">
        <v>1991</v>
      </c>
      <c r="K77" s="2">
        <f t="shared" si="63"/>
        <v>2717</v>
      </c>
      <c r="L77" s="2">
        <f t="shared" si="64"/>
        <v>5605</v>
      </c>
      <c r="M77" s="2">
        <f t="shared" si="56"/>
        <v>24</v>
      </c>
      <c r="N77" s="2">
        <f t="shared" si="67"/>
        <v>8346</v>
      </c>
      <c r="Z77" s="9">
        <v>1991</v>
      </c>
      <c r="AA77" s="2">
        <f t="shared" si="65"/>
        <v>4616130</v>
      </c>
      <c r="AB77" s="2">
        <f t="shared" si="65"/>
        <v>1792774</v>
      </c>
      <c r="AC77" s="1">
        <f t="shared" si="65"/>
        <v>12774</v>
      </c>
      <c r="AD77" s="1">
        <f t="shared" si="65"/>
        <v>80958</v>
      </c>
      <c r="AE77" s="1">
        <f t="shared" si="65"/>
        <v>118643</v>
      </c>
      <c r="AF77" s="1"/>
      <c r="AG77" s="2">
        <f t="shared" si="65"/>
        <v>6621279</v>
      </c>
      <c r="AJ77" s="9">
        <v>1991</v>
      </c>
      <c r="AK77" s="1">
        <f t="shared" si="68"/>
        <v>58.85882763267065</v>
      </c>
      <c r="AL77" s="1">
        <f t="shared" si="58"/>
        <v>312.64398078062266</v>
      </c>
      <c r="AM77" s="1">
        <f t="shared" si="59"/>
        <v>7.828401440425865</v>
      </c>
      <c r="AN77" s="1">
        <f t="shared" si="60"/>
        <v>0</v>
      </c>
      <c r="AO77" s="1">
        <f t="shared" si="61"/>
        <v>19.385888758713115</v>
      </c>
      <c r="AP77" s="1"/>
      <c r="AQ77" s="1">
        <f t="shared" si="62"/>
        <v>126.04815474472531</v>
      </c>
      <c r="AR77" s="1">
        <f t="shared" si="69"/>
        <v>11.300765155974103</v>
      </c>
    </row>
    <row r="78" spans="1:44" ht="12.75">
      <c r="A78" s="9">
        <v>1992</v>
      </c>
      <c r="B78">
        <v>2714</v>
      </c>
      <c r="C78">
        <v>5597</v>
      </c>
      <c r="D78">
        <v>3</v>
      </c>
      <c r="E78">
        <v>4</v>
      </c>
      <c r="F78">
        <v>0</v>
      </c>
      <c r="H78" s="2">
        <f t="shared" si="66"/>
        <v>8318</v>
      </c>
      <c r="J78" s="9">
        <v>1992</v>
      </c>
      <c r="K78" s="2">
        <f t="shared" si="63"/>
        <v>2714</v>
      </c>
      <c r="L78" s="2">
        <f t="shared" si="64"/>
        <v>5597</v>
      </c>
      <c r="M78" s="2">
        <f t="shared" si="56"/>
        <v>7</v>
      </c>
      <c r="N78" s="2">
        <f t="shared" si="67"/>
        <v>8318</v>
      </c>
      <c r="Z78" s="9">
        <v>1992</v>
      </c>
      <c r="AA78" s="2">
        <f t="shared" si="65"/>
        <v>4686847</v>
      </c>
      <c r="AB78" s="2">
        <f t="shared" si="65"/>
        <v>1841545</v>
      </c>
      <c r="AC78" s="1">
        <f t="shared" si="65"/>
        <v>13230</v>
      </c>
      <c r="AD78" s="1">
        <f t="shared" si="65"/>
        <v>88668</v>
      </c>
      <c r="AE78" s="1">
        <f t="shared" si="65"/>
        <v>129184</v>
      </c>
      <c r="AF78" s="1"/>
      <c r="AG78" s="2">
        <f t="shared" si="65"/>
        <v>6759474</v>
      </c>
      <c r="AJ78" s="9">
        <v>1992</v>
      </c>
      <c r="AK78" s="1">
        <f t="shared" si="68"/>
        <v>57.906733460682624</v>
      </c>
      <c r="AL78" s="1">
        <f t="shared" si="58"/>
        <v>303.92958086823836</v>
      </c>
      <c r="AM78" s="1">
        <f t="shared" si="59"/>
        <v>22.67573696145125</v>
      </c>
      <c r="AN78" s="1">
        <f t="shared" si="60"/>
        <v>4.511210357738982</v>
      </c>
      <c r="AO78" s="1">
        <f t="shared" si="61"/>
        <v>0</v>
      </c>
      <c r="AP78" s="1"/>
      <c r="AQ78" s="1">
        <f t="shared" si="62"/>
        <v>123.05691241655786</v>
      </c>
      <c r="AR78" s="1">
        <f t="shared" si="69"/>
        <v>3.029227720030119</v>
      </c>
    </row>
    <row r="79" spans="1:44" ht="12.75">
      <c r="A79" s="9">
        <v>1993</v>
      </c>
      <c r="B79">
        <v>2157</v>
      </c>
      <c r="C79">
        <v>4728</v>
      </c>
      <c r="D79">
        <v>3</v>
      </c>
      <c r="E79">
        <v>1</v>
      </c>
      <c r="F79">
        <v>20</v>
      </c>
      <c r="H79" s="2">
        <f t="shared" si="66"/>
        <v>6909</v>
      </c>
      <c r="J79" s="9">
        <v>1993</v>
      </c>
      <c r="K79" s="2">
        <f t="shared" si="63"/>
        <v>2157</v>
      </c>
      <c r="L79" s="2">
        <f t="shared" si="64"/>
        <v>4728</v>
      </c>
      <c r="M79" s="2">
        <f t="shared" si="56"/>
        <v>24</v>
      </c>
      <c r="N79" s="2">
        <f t="shared" si="67"/>
        <v>6909</v>
      </c>
      <c r="Z79" s="9">
        <v>1993</v>
      </c>
      <c r="AA79" s="2">
        <f t="shared" si="65"/>
        <v>4751956</v>
      </c>
      <c r="AB79" s="2">
        <f t="shared" si="65"/>
        <v>1893269</v>
      </c>
      <c r="AC79" s="1">
        <f t="shared" si="65"/>
        <v>13619</v>
      </c>
      <c r="AD79" s="1">
        <f t="shared" si="65"/>
        <v>96669</v>
      </c>
      <c r="AE79" s="1">
        <f t="shared" si="65"/>
        <v>138579</v>
      </c>
      <c r="AF79" s="1"/>
      <c r="AG79" s="2">
        <f t="shared" si="65"/>
        <v>6894092</v>
      </c>
      <c r="AJ79" s="9">
        <v>1993</v>
      </c>
      <c r="AK79" s="1">
        <f t="shared" si="68"/>
        <v>45.39183443617744</v>
      </c>
      <c r="AL79" s="1">
        <f t="shared" si="58"/>
        <v>249.72679529427674</v>
      </c>
      <c r="AM79" s="1">
        <f t="shared" si="59"/>
        <v>22.028049049122547</v>
      </c>
      <c r="AN79" s="1">
        <f t="shared" si="60"/>
        <v>1.034457788949922</v>
      </c>
      <c r="AO79" s="1">
        <f t="shared" si="61"/>
        <v>14.432201127154908</v>
      </c>
      <c r="AP79" s="1"/>
      <c r="AQ79" s="1">
        <f t="shared" si="62"/>
        <v>100.21624312527305</v>
      </c>
      <c r="AR79" s="1">
        <f t="shared" si="69"/>
        <v>9.643705272294037</v>
      </c>
    </row>
    <row r="80" spans="1:44" ht="12.75">
      <c r="A80" s="9">
        <v>1994</v>
      </c>
      <c r="B80">
        <v>2122</v>
      </c>
      <c r="C80">
        <v>4538</v>
      </c>
      <c r="D80">
        <v>2</v>
      </c>
      <c r="E80">
        <v>0</v>
      </c>
      <c r="F80">
        <v>27</v>
      </c>
      <c r="H80" s="2">
        <f t="shared" si="66"/>
        <v>6689</v>
      </c>
      <c r="J80" s="9">
        <v>1994</v>
      </c>
      <c r="K80" s="2">
        <f t="shared" si="63"/>
        <v>2122</v>
      </c>
      <c r="L80" s="2">
        <f t="shared" si="64"/>
        <v>4538</v>
      </c>
      <c r="M80" s="2">
        <f t="shared" si="56"/>
        <v>29</v>
      </c>
      <c r="N80" s="2">
        <f t="shared" si="67"/>
        <v>6689</v>
      </c>
      <c r="Z80" s="9">
        <v>1994</v>
      </c>
      <c r="AA80" s="2">
        <f t="shared" si="65"/>
        <v>4826583</v>
      </c>
      <c r="AB80" s="2">
        <f t="shared" si="65"/>
        <v>1949003</v>
      </c>
      <c r="AC80" s="1">
        <f t="shared" si="65"/>
        <v>13948</v>
      </c>
      <c r="AD80" s="1">
        <f t="shared" si="65"/>
        <v>106102</v>
      </c>
      <c r="AE80" s="1">
        <f t="shared" si="65"/>
        <v>150264</v>
      </c>
      <c r="AF80" s="1"/>
      <c r="AG80" s="2">
        <f t="shared" si="65"/>
        <v>7045900</v>
      </c>
      <c r="AJ80" s="9">
        <v>1994</v>
      </c>
      <c r="AK80" s="1">
        <f t="shared" si="68"/>
        <v>43.96485049568194</v>
      </c>
      <c r="AL80" s="1">
        <f t="shared" si="58"/>
        <v>232.8369940939034</v>
      </c>
      <c r="AM80" s="1">
        <f t="shared" si="59"/>
        <v>14.338973329509606</v>
      </c>
      <c r="AN80" s="1">
        <f t="shared" si="60"/>
        <v>0</v>
      </c>
      <c r="AO80" s="1">
        <f t="shared" si="61"/>
        <v>17.96837565884044</v>
      </c>
      <c r="AP80" s="1"/>
      <c r="AQ80" s="1">
        <f t="shared" si="62"/>
        <v>94.93464284193644</v>
      </c>
      <c r="AR80" s="1">
        <f t="shared" si="69"/>
        <v>10.728264166857802</v>
      </c>
    </row>
    <row r="81" spans="1:44" ht="12.75">
      <c r="A81" s="9">
        <v>1995</v>
      </c>
      <c r="B81">
        <v>2101</v>
      </c>
      <c r="C81">
        <v>4739</v>
      </c>
      <c r="D81">
        <v>8</v>
      </c>
      <c r="E81">
        <v>2</v>
      </c>
      <c r="F81">
        <v>19</v>
      </c>
      <c r="H81" s="2">
        <f t="shared" si="66"/>
        <v>6869</v>
      </c>
      <c r="J81" s="9">
        <v>1995</v>
      </c>
      <c r="K81" s="2">
        <f t="shared" si="63"/>
        <v>2101</v>
      </c>
      <c r="L81" s="2">
        <f t="shared" si="64"/>
        <v>4739</v>
      </c>
      <c r="M81" s="2">
        <f t="shared" si="56"/>
        <v>29</v>
      </c>
      <c r="N81" s="2">
        <f t="shared" si="67"/>
        <v>6869</v>
      </c>
      <c r="Z81" s="9">
        <v>1995</v>
      </c>
      <c r="AA81" s="2">
        <f t="shared" si="65"/>
        <v>4893111</v>
      </c>
      <c r="AB81" s="2">
        <f t="shared" si="65"/>
        <v>1998061</v>
      </c>
      <c r="AC81" s="1">
        <f t="shared" si="65"/>
        <v>14369</v>
      </c>
      <c r="AD81" s="1">
        <f t="shared" si="65"/>
        <v>115588</v>
      </c>
      <c r="AE81" s="1">
        <f t="shared" si="65"/>
        <v>167409</v>
      </c>
      <c r="AF81" s="1"/>
      <c r="AG81" s="2">
        <f t="shared" si="65"/>
        <v>7188538</v>
      </c>
      <c r="AJ81" s="9">
        <v>1995</v>
      </c>
      <c r="AK81" s="1">
        <f t="shared" si="68"/>
        <v>42.93791822830097</v>
      </c>
      <c r="AL81" s="1">
        <f t="shared" si="58"/>
        <v>237.1799459576059</v>
      </c>
      <c r="AM81" s="1">
        <f t="shared" si="59"/>
        <v>55.67541234602269</v>
      </c>
      <c r="AN81" s="1">
        <f t="shared" si="60"/>
        <v>1.7302834204242654</v>
      </c>
      <c r="AO81" s="1">
        <f t="shared" si="61"/>
        <v>11.349449551696743</v>
      </c>
      <c r="AP81" s="1"/>
      <c r="AQ81" s="1">
        <f t="shared" si="62"/>
        <v>95.55489586338696</v>
      </c>
      <c r="AR81" s="1">
        <f t="shared" si="69"/>
        <v>9.752291788570314</v>
      </c>
    </row>
    <row r="82" spans="1:44" ht="12.75">
      <c r="A82" s="9">
        <v>1996</v>
      </c>
      <c r="B82">
        <v>2899</v>
      </c>
      <c r="C82">
        <v>5986</v>
      </c>
      <c r="D82">
        <v>9</v>
      </c>
      <c r="E82">
        <v>1</v>
      </c>
      <c r="F82">
        <v>24</v>
      </c>
      <c r="H82" s="2">
        <f t="shared" si="66"/>
        <v>8919</v>
      </c>
      <c r="J82" s="9">
        <v>1996</v>
      </c>
      <c r="K82" s="2">
        <f t="shared" si="63"/>
        <v>2899</v>
      </c>
      <c r="L82" s="2">
        <f t="shared" si="64"/>
        <v>5986</v>
      </c>
      <c r="M82" s="2">
        <f t="shared" si="56"/>
        <v>34</v>
      </c>
      <c r="N82" s="2">
        <f t="shared" si="67"/>
        <v>8919</v>
      </c>
      <c r="Z82" s="9">
        <v>1996</v>
      </c>
      <c r="AA82" s="2">
        <f t="shared" si="65"/>
        <v>4958266</v>
      </c>
      <c r="AB82" s="2">
        <f t="shared" si="65"/>
        <v>2050148</v>
      </c>
      <c r="AC82" s="1">
        <f t="shared" si="65"/>
        <v>14780</v>
      </c>
      <c r="AD82" s="1">
        <f t="shared" si="65"/>
        <v>124367</v>
      </c>
      <c r="AE82" s="1">
        <f t="shared" si="65"/>
        <v>184664</v>
      </c>
      <c r="AF82" s="1"/>
      <c r="AG82" s="2">
        <f t="shared" si="65"/>
        <v>7332225</v>
      </c>
      <c r="AJ82" s="9">
        <v>1996</v>
      </c>
      <c r="AK82" s="1">
        <f t="shared" si="68"/>
        <v>58.46802087665325</v>
      </c>
      <c r="AL82" s="1">
        <f t="shared" si="58"/>
        <v>291.978920546224</v>
      </c>
      <c r="AM82" s="1">
        <f t="shared" si="59"/>
        <v>60.893098782138026</v>
      </c>
      <c r="AN82" s="1">
        <f t="shared" si="60"/>
        <v>0.8040718196949351</v>
      </c>
      <c r="AO82" s="1">
        <f t="shared" si="61"/>
        <v>12.996577567907117</v>
      </c>
      <c r="AP82" s="1"/>
      <c r="AQ82" s="1">
        <f t="shared" si="62"/>
        <v>121.64111166801347</v>
      </c>
      <c r="AR82" s="1">
        <f t="shared" si="69"/>
        <v>10.49995213257116</v>
      </c>
    </row>
    <row r="83" spans="1:44" ht="12.75">
      <c r="A83" s="9">
        <v>1997</v>
      </c>
      <c r="B83">
        <v>0</v>
      </c>
      <c r="C83">
        <v>0</v>
      </c>
      <c r="D83">
        <v>0</v>
      </c>
      <c r="E83">
        <v>0</v>
      </c>
      <c r="F83">
        <v>0</v>
      </c>
      <c r="H83" s="2"/>
      <c r="J83" s="9">
        <v>1997</v>
      </c>
      <c r="K83" s="2"/>
      <c r="L83" s="2"/>
      <c r="M83" s="2"/>
      <c r="N83" s="2"/>
      <c r="Z83" s="9">
        <v>1997</v>
      </c>
      <c r="AA83" s="2">
        <f t="shared" si="65"/>
        <v>5026613</v>
      </c>
      <c r="AB83" s="2">
        <f t="shared" si="65"/>
        <v>2105477</v>
      </c>
      <c r="AC83" s="1">
        <f t="shared" si="65"/>
        <v>14990</v>
      </c>
      <c r="AD83" s="1">
        <f t="shared" si="65"/>
        <v>133823</v>
      </c>
      <c r="AE83" s="1">
        <f t="shared" si="65"/>
        <v>205191</v>
      </c>
      <c r="AF83" s="1"/>
      <c r="AG83" s="2">
        <f t="shared" si="65"/>
        <v>7486094</v>
      </c>
      <c r="AJ83" s="9">
        <v>1997</v>
      </c>
      <c r="AK83" s="1"/>
      <c r="AL83" s="1"/>
      <c r="AM83" s="1"/>
      <c r="AN83" s="1"/>
      <c r="AO83" s="1"/>
      <c r="AP83" s="1"/>
      <c r="AQ83" s="1"/>
      <c r="AR83" s="1"/>
    </row>
    <row r="84" spans="1:44" ht="12.75">
      <c r="A84" s="9">
        <v>1998</v>
      </c>
      <c r="B84">
        <v>3018</v>
      </c>
      <c r="C84">
        <v>6238</v>
      </c>
      <c r="D84">
        <v>9</v>
      </c>
      <c r="E84">
        <v>3</v>
      </c>
      <c r="F84">
        <v>25</v>
      </c>
      <c r="H84" s="2">
        <f t="shared" si="66"/>
        <v>9293</v>
      </c>
      <c r="J84" s="9">
        <v>1998</v>
      </c>
      <c r="K84" s="2">
        <f t="shared" si="63"/>
        <v>3018</v>
      </c>
      <c r="L84" s="2">
        <f t="shared" si="64"/>
        <v>6238</v>
      </c>
      <c r="M84" s="2">
        <f t="shared" si="56"/>
        <v>37</v>
      </c>
      <c r="N84" s="2">
        <f t="shared" si="67"/>
        <v>9293</v>
      </c>
      <c r="Z84" s="9">
        <v>1998</v>
      </c>
      <c r="AA84" s="2">
        <f t="shared" si="65"/>
        <v>5095472</v>
      </c>
      <c r="AB84" s="2">
        <f t="shared" si="65"/>
        <v>2160382</v>
      </c>
      <c r="AC84" s="1">
        <f t="shared" si="65"/>
        <v>15527</v>
      </c>
      <c r="AD84" s="1">
        <f t="shared" si="65"/>
        <v>144229</v>
      </c>
      <c r="AE84" s="1">
        <f t="shared" si="65"/>
        <v>220912</v>
      </c>
      <c r="AF84" s="1"/>
      <c r="AG84" s="2">
        <f t="shared" si="65"/>
        <v>7636522</v>
      </c>
      <c r="AJ84" s="9">
        <v>1998</v>
      </c>
      <c r="AK84" s="1">
        <f t="shared" si="68"/>
        <v>59.22905669975225</v>
      </c>
      <c r="AL84" s="1">
        <f t="shared" si="58"/>
        <v>288.745231167451</v>
      </c>
      <c r="AM84" s="1">
        <f t="shared" si="59"/>
        <v>57.96354736909899</v>
      </c>
      <c r="AN84" s="1">
        <f t="shared" si="60"/>
        <v>2.0800255149796505</v>
      </c>
      <c r="AO84" s="1">
        <f t="shared" si="61"/>
        <v>11.316723401173318</v>
      </c>
      <c r="AP84" s="1"/>
      <c r="AQ84" s="1">
        <f t="shared" si="62"/>
        <v>121.6915239686339</v>
      </c>
      <c r="AR84" s="1">
        <f t="shared" si="69"/>
        <v>9.719755797702986</v>
      </c>
    </row>
    <row r="85" spans="1:44" ht="12.75">
      <c r="A85" s="9">
        <v>1999</v>
      </c>
      <c r="B85">
        <v>3829</v>
      </c>
      <c r="C85">
        <v>8198</v>
      </c>
      <c r="D85">
        <v>7</v>
      </c>
      <c r="E85">
        <v>7</v>
      </c>
      <c r="F85">
        <v>37</v>
      </c>
      <c r="H85" s="2">
        <f t="shared" si="66"/>
        <v>12078</v>
      </c>
      <c r="J85" s="9">
        <v>1999</v>
      </c>
      <c r="K85" s="2">
        <f t="shared" si="63"/>
        <v>3829</v>
      </c>
      <c r="L85" s="2">
        <f t="shared" si="64"/>
        <v>8198</v>
      </c>
      <c r="M85" s="2">
        <f t="shared" si="56"/>
        <v>51</v>
      </c>
      <c r="N85" s="2">
        <f t="shared" si="67"/>
        <v>12078</v>
      </c>
      <c r="Z85" s="9">
        <v>1999</v>
      </c>
      <c r="AA85" s="2">
        <f t="shared" si="65"/>
        <v>5162469</v>
      </c>
      <c r="AB85" s="2">
        <f t="shared" si="65"/>
        <v>2215435</v>
      </c>
      <c r="AC85" s="1">
        <f t="shared" si="65"/>
        <v>15867</v>
      </c>
      <c r="AD85" s="1">
        <f t="shared" si="65"/>
        <v>154903</v>
      </c>
      <c r="AE85" s="1">
        <f t="shared" si="65"/>
        <v>239566</v>
      </c>
      <c r="AF85" s="1"/>
      <c r="AG85" s="2">
        <f t="shared" si="65"/>
        <v>7788240</v>
      </c>
      <c r="AJ85" s="9">
        <v>1999</v>
      </c>
      <c r="AK85" s="1">
        <f t="shared" si="68"/>
        <v>74.1699369042216</v>
      </c>
      <c r="AL85" s="1">
        <f>(C85/AB85)*100000</f>
        <v>370.0401952663924</v>
      </c>
      <c r="AM85" s="1">
        <f>(D85/AC85)*100000</f>
        <v>44.11672023696981</v>
      </c>
      <c r="AN85" s="1">
        <f>(E85/AD85)*100000</f>
        <v>4.518957024718695</v>
      </c>
      <c r="AO85" s="1">
        <f>(F85/AE85)*100000</f>
        <v>15.444595643789185</v>
      </c>
      <c r="AP85" s="1"/>
      <c r="AQ85" s="1">
        <f t="shared" si="62"/>
        <v>155.07996671905335</v>
      </c>
      <c r="AR85" s="1">
        <f t="shared" si="69"/>
        <v>12.428838805271777</v>
      </c>
    </row>
    <row r="86" spans="1:14" s="4" customFormat="1" ht="12.75">
      <c r="A86" s="13" t="s">
        <v>13</v>
      </c>
      <c r="B86" s="21">
        <f aca="true" t="shared" si="70" ref="B86:G86">SUM(B69:B85)</f>
        <v>37072</v>
      </c>
      <c r="C86" s="21">
        <f t="shared" si="70"/>
        <v>68905</v>
      </c>
      <c r="D86" s="21">
        <f t="shared" si="70"/>
        <v>46</v>
      </c>
      <c r="E86" s="21">
        <f t="shared" si="70"/>
        <v>20</v>
      </c>
      <c r="F86" s="21">
        <f t="shared" si="70"/>
        <v>223</v>
      </c>
      <c r="G86" s="21">
        <f t="shared" si="70"/>
        <v>0</v>
      </c>
      <c r="H86" s="21">
        <f t="shared" si="66"/>
        <v>106266</v>
      </c>
      <c r="J86" s="13" t="s">
        <v>13</v>
      </c>
      <c r="K86" s="21">
        <f>B86</f>
        <v>37072</v>
      </c>
      <c r="L86" s="21">
        <f>C86</f>
        <v>68905</v>
      </c>
      <c r="M86" s="21">
        <f t="shared" si="56"/>
        <v>289</v>
      </c>
      <c r="N86" s="21">
        <f>H86</f>
        <v>106266</v>
      </c>
    </row>
    <row r="88" spans="1:44" s="27" customFormat="1" ht="29.25" customHeight="1">
      <c r="A88" s="33" t="str">
        <f>CONCATENATE("Other &amp; Not Known Admissions, All Races: ",$A$1)</f>
        <v>Other &amp; Not Known Admissions, All Races: GEORGIA</v>
      </c>
      <c r="B88" s="33"/>
      <c r="C88" s="33"/>
      <c r="D88" s="33"/>
      <c r="E88" s="33"/>
      <c r="F88" s="33"/>
      <c r="G88" s="33"/>
      <c r="H88" s="33"/>
      <c r="J88" s="33" t="str">
        <f>CONCATENATE("Other &amp; Not Known Admissions, BW + Balance: ",$A$1)</f>
        <v>Other &amp; Not Known Admissions, BW + Balance: GEORGIA</v>
      </c>
      <c r="K88" s="33"/>
      <c r="L88" s="33"/>
      <c r="M88" s="33"/>
      <c r="N88" s="33"/>
      <c r="Z88" s="32" t="str">
        <f>CONCATENATE("Total Population, By Race: ",$A$1)</f>
        <v>Total Population, By Race: GEORGIA</v>
      </c>
      <c r="AA88" s="32"/>
      <c r="AB88" s="32"/>
      <c r="AC88" s="32"/>
      <c r="AD88" s="32"/>
      <c r="AE88" s="32"/>
      <c r="AF88" s="32"/>
      <c r="AG88" s="32"/>
      <c r="AJ88" s="32" t="str">
        <f>CONCATENATE("Other &amp; Not Known Admissions, per 100,000 By Race: ",$A$1)</f>
        <v>Other &amp; Not Known Admissions, per 100,000 By Race: GEORGIA</v>
      </c>
      <c r="AK88" s="32"/>
      <c r="AL88" s="32"/>
      <c r="AM88" s="32"/>
      <c r="AN88" s="32"/>
      <c r="AO88" s="32"/>
      <c r="AP88" s="32"/>
      <c r="AQ88" s="32"/>
      <c r="AR88" s="32"/>
    </row>
    <row r="89" spans="1:44" ht="12.75">
      <c r="A89" s="20" t="s">
        <v>25</v>
      </c>
      <c r="B89" s="19" t="s">
        <v>11</v>
      </c>
      <c r="C89" s="19" t="s">
        <v>12</v>
      </c>
      <c r="D89" s="19" t="s">
        <v>28</v>
      </c>
      <c r="E89" s="19" t="s">
        <v>29</v>
      </c>
      <c r="F89" s="19" t="s">
        <v>26</v>
      </c>
      <c r="G89" s="19" t="s">
        <v>27</v>
      </c>
      <c r="H89" s="19" t="s">
        <v>13</v>
      </c>
      <c r="J89" s="20" t="s">
        <v>25</v>
      </c>
      <c r="K89" s="19" t="s">
        <v>11</v>
      </c>
      <c r="L89" s="19" t="s">
        <v>12</v>
      </c>
      <c r="M89" s="19" t="s">
        <v>30</v>
      </c>
      <c r="N89" s="19" t="s">
        <v>13</v>
      </c>
      <c r="Z89" s="20" t="s">
        <v>25</v>
      </c>
      <c r="AA89" s="19" t="s">
        <v>11</v>
      </c>
      <c r="AB89" s="19" t="s">
        <v>12</v>
      </c>
      <c r="AC89" s="19" t="s">
        <v>28</v>
      </c>
      <c r="AD89" s="19" t="s">
        <v>29</v>
      </c>
      <c r="AE89" s="19" t="s">
        <v>26</v>
      </c>
      <c r="AF89" s="19" t="s">
        <v>27</v>
      </c>
      <c r="AG89" s="19" t="s">
        <v>13</v>
      </c>
      <c r="AJ89" s="20" t="s">
        <v>25</v>
      </c>
      <c r="AK89" s="19" t="s">
        <v>11</v>
      </c>
      <c r="AL89" s="19" t="s">
        <v>12</v>
      </c>
      <c r="AM89" s="19" t="s">
        <v>28</v>
      </c>
      <c r="AN89" s="19" t="s">
        <v>29</v>
      </c>
      <c r="AO89" s="19" t="s">
        <v>26</v>
      </c>
      <c r="AP89" s="19" t="s">
        <v>27</v>
      </c>
      <c r="AQ89" s="19" t="s">
        <v>13</v>
      </c>
      <c r="AR89" s="19" t="s">
        <v>30</v>
      </c>
    </row>
    <row r="90" spans="1:44" ht="12.75">
      <c r="A90" s="9">
        <v>1983</v>
      </c>
      <c r="B90">
        <v>0</v>
      </c>
      <c r="C90">
        <v>0</v>
      </c>
      <c r="D90">
        <v>0</v>
      </c>
      <c r="E90">
        <v>0</v>
      </c>
      <c r="F90">
        <v>0</v>
      </c>
      <c r="H90" s="2"/>
      <c r="J90" s="9">
        <v>1983</v>
      </c>
      <c r="K90" s="2"/>
      <c r="L90" s="2"/>
      <c r="M90" s="2"/>
      <c r="N90" s="2"/>
      <c r="Z90" s="9">
        <v>1983</v>
      </c>
      <c r="AA90" s="2">
        <f>AA69</f>
        <v>4066112</v>
      </c>
      <c r="AB90" s="2">
        <f aca="true" t="shared" si="71" ref="AB90:AG90">AB69</f>
        <v>1539592</v>
      </c>
      <c r="AC90" s="1">
        <f t="shared" si="71"/>
        <v>9408</v>
      </c>
      <c r="AD90" s="1">
        <f t="shared" si="71"/>
        <v>40057</v>
      </c>
      <c r="AE90" s="1">
        <f t="shared" si="71"/>
        <v>73095</v>
      </c>
      <c r="AF90" s="1"/>
      <c r="AG90" s="2">
        <f t="shared" si="71"/>
        <v>5728264</v>
      </c>
      <c r="AJ90" s="9">
        <v>1983</v>
      </c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9">
        <v>1984</v>
      </c>
      <c r="B91">
        <v>115</v>
      </c>
      <c r="C91">
        <v>91</v>
      </c>
      <c r="D91">
        <v>0</v>
      </c>
      <c r="E91">
        <v>0</v>
      </c>
      <c r="F91">
        <v>0</v>
      </c>
      <c r="H91" s="2">
        <f aca="true" t="shared" si="72" ref="H91:H106">SUM(B91:G91)</f>
        <v>206</v>
      </c>
      <c r="J91" s="9">
        <v>1984</v>
      </c>
      <c r="K91" s="2">
        <f aca="true" t="shared" si="73" ref="K91:K106">B91</f>
        <v>115</v>
      </c>
      <c r="L91" s="2">
        <f aca="true" t="shared" si="74" ref="L91:L106">C91</f>
        <v>91</v>
      </c>
      <c r="M91" s="2">
        <f aca="true" t="shared" si="75" ref="M91:M107">N91-K91-L91</f>
        <v>0</v>
      </c>
      <c r="N91" s="2">
        <f aca="true" t="shared" si="76" ref="N91:N106">H91</f>
        <v>206</v>
      </c>
      <c r="Z91" s="9">
        <v>1984</v>
      </c>
      <c r="AA91" s="2">
        <f aca="true" t="shared" si="77" ref="AA91:AG106">AA70</f>
        <v>4134531</v>
      </c>
      <c r="AB91" s="2">
        <f t="shared" si="77"/>
        <v>1567887</v>
      </c>
      <c r="AC91" s="1">
        <f t="shared" si="77"/>
        <v>9996</v>
      </c>
      <c r="AD91" s="1">
        <f t="shared" si="77"/>
        <v>44610</v>
      </c>
      <c r="AE91" s="1">
        <f t="shared" si="77"/>
        <v>77938</v>
      </c>
      <c r="AF91" s="1"/>
      <c r="AG91" s="2">
        <f t="shared" si="77"/>
        <v>5834962</v>
      </c>
      <c r="AJ91" s="9">
        <v>1984</v>
      </c>
      <c r="AK91" s="1">
        <f aca="true" t="shared" si="78" ref="AK91:AK106">(B91/AA91)*100000</f>
        <v>2.7814521163343557</v>
      </c>
      <c r="AL91" s="1">
        <f aca="true" t="shared" si="79" ref="AL91:AL104">(C91/AB91)*100000</f>
        <v>5.803989700788386</v>
      </c>
      <c r="AM91" s="1">
        <f aca="true" t="shared" si="80" ref="AM91:AM104">(D91/AC91)*100000</f>
        <v>0</v>
      </c>
      <c r="AN91" s="1">
        <f aca="true" t="shared" si="81" ref="AN91:AN104">(E91/AD91)*100000</f>
        <v>0</v>
      </c>
      <c r="AO91" s="1">
        <f aca="true" t="shared" si="82" ref="AO91:AO104">(F91/AE91)*100000</f>
        <v>0</v>
      </c>
      <c r="AP91" s="1"/>
      <c r="AQ91" s="1">
        <f aca="true" t="shared" si="83" ref="AQ91:AQ106">(H91/AG91)*100000</f>
        <v>3.5304428717787713</v>
      </c>
      <c r="AR91" s="1">
        <f aca="true" t="shared" si="84" ref="AR91:AR106">(SUM(D91:F91)/SUM(AC91:AE91))*100000</f>
        <v>0</v>
      </c>
    </row>
    <row r="92" spans="1:44" ht="12.75">
      <c r="A92" s="9">
        <v>1985</v>
      </c>
      <c r="B92">
        <v>0</v>
      </c>
      <c r="C92">
        <v>0</v>
      </c>
      <c r="D92">
        <v>0</v>
      </c>
      <c r="E92">
        <v>0</v>
      </c>
      <c r="F92">
        <v>0</v>
      </c>
      <c r="H92" s="2"/>
      <c r="J92" s="9">
        <v>1985</v>
      </c>
      <c r="K92" s="2"/>
      <c r="L92" s="2"/>
      <c r="M92" s="2"/>
      <c r="N92" s="2"/>
      <c r="Z92" s="9">
        <v>1985</v>
      </c>
      <c r="AA92" s="2">
        <f t="shared" si="77"/>
        <v>4218275</v>
      </c>
      <c r="AB92" s="2">
        <f t="shared" si="77"/>
        <v>1600794</v>
      </c>
      <c r="AC92" s="1">
        <f t="shared" si="77"/>
        <v>10660</v>
      </c>
      <c r="AD92" s="1">
        <f t="shared" si="77"/>
        <v>49861</v>
      </c>
      <c r="AE92" s="1">
        <f t="shared" si="77"/>
        <v>83086</v>
      </c>
      <c r="AF92" s="1"/>
      <c r="AG92" s="2">
        <f t="shared" si="77"/>
        <v>5962676</v>
      </c>
      <c r="AJ92" s="9">
        <v>1985</v>
      </c>
      <c r="AK92" s="1"/>
      <c r="AL92" s="1"/>
      <c r="AM92" s="1"/>
      <c r="AN92" s="1"/>
      <c r="AO92" s="1"/>
      <c r="AP92" s="1"/>
      <c r="AQ92" s="1"/>
      <c r="AR92" s="1"/>
    </row>
    <row r="93" spans="1:44" ht="12.75">
      <c r="A93" s="9">
        <v>1986</v>
      </c>
      <c r="B93">
        <v>0</v>
      </c>
      <c r="C93">
        <v>0</v>
      </c>
      <c r="D93">
        <v>0</v>
      </c>
      <c r="E93">
        <v>0</v>
      </c>
      <c r="F93">
        <v>0</v>
      </c>
      <c r="H93" s="2"/>
      <c r="J93" s="9">
        <v>1986</v>
      </c>
      <c r="K93" s="2"/>
      <c r="L93" s="2"/>
      <c r="M93" s="2"/>
      <c r="N93" s="2"/>
      <c r="Z93" s="9">
        <v>1986</v>
      </c>
      <c r="AA93" s="2">
        <f t="shared" si="77"/>
        <v>4300604</v>
      </c>
      <c r="AB93" s="2">
        <f t="shared" si="77"/>
        <v>1629524</v>
      </c>
      <c r="AC93" s="1">
        <f t="shared" si="77"/>
        <v>11188</v>
      </c>
      <c r="AD93" s="1">
        <f t="shared" si="77"/>
        <v>54910</v>
      </c>
      <c r="AE93" s="1">
        <f t="shared" si="77"/>
        <v>88440</v>
      </c>
      <c r="AF93" s="1"/>
      <c r="AG93" s="2">
        <f t="shared" si="77"/>
        <v>6084666</v>
      </c>
      <c r="AJ93" s="9">
        <v>1986</v>
      </c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9">
        <v>1987</v>
      </c>
      <c r="B94">
        <v>156</v>
      </c>
      <c r="C94">
        <v>99</v>
      </c>
      <c r="D94">
        <v>0</v>
      </c>
      <c r="E94">
        <v>0</v>
      </c>
      <c r="F94">
        <v>0</v>
      </c>
      <c r="H94" s="2">
        <f t="shared" si="72"/>
        <v>255</v>
      </c>
      <c r="J94" s="9">
        <v>1987</v>
      </c>
      <c r="K94" s="2">
        <f t="shared" si="73"/>
        <v>156</v>
      </c>
      <c r="L94" s="2">
        <f t="shared" si="74"/>
        <v>99</v>
      </c>
      <c r="M94" s="2">
        <f t="shared" si="75"/>
        <v>0</v>
      </c>
      <c r="N94" s="2">
        <f t="shared" si="76"/>
        <v>255</v>
      </c>
      <c r="Z94" s="9">
        <v>1987</v>
      </c>
      <c r="AA94" s="2">
        <f t="shared" si="77"/>
        <v>4383235</v>
      </c>
      <c r="AB94" s="2">
        <f t="shared" si="77"/>
        <v>1659852</v>
      </c>
      <c r="AC94" s="1">
        <f t="shared" si="77"/>
        <v>11666</v>
      </c>
      <c r="AD94" s="1">
        <f t="shared" si="77"/>
        <v>59771</v>
      </c>
      <c r="AE94" s="1">
        <f t="shared" si="77"/>
        <v>93958</v>
      </c>
      <c r="AF94" s="1"/>
      <c r="AG94" s="2">
        <f t="shared" si="77"/>
        <v>6208482</v>
      </c>
      <c r="AJ94" s="9">
        <v>1987</v>
      </c>
      <c r="AK94" s="1">
        <f t="shared" si="78"/>
        <v>3.5590152022421795</v>
      </c>
      <c r="AL94" s="1">
        <f t="shared" si="79"/>
        <v>5.964387186327455</v>
      </c>
      <c r="AM94" s="1">
        <f t="shared" si="80"/>
        <v>0</v>
      </c>
      <c r="AN94" s="1">
        <f t="shared" si="81"/>
        <v>0</v>
      </c>
      <c r="AO94" s="1">
        <f t="shared" si="82"/>
        <v>0</v>
      </c>
      <c r="AP94" s="1"/>
      <c r="AQ94" s="1">
        <f t="shared" si="83"/>
        <v>4.107284196040191</v>
      </c>
      <c r="AR94" s="1">
        <f t="shared" si="84"/>
        <v>0</v>
      </c>
    </row>
    <row r="95" spans="1:44" ht="12.75">
      <c r="A95" s="9">
        <v>1988</v>
      </c>
      <c r="B95">
        <v>269</v>
      </c>
      <c r="C95">
        <v>145</v>
      </c>
      <c r="D95">
        <v>0</v>
      </c>
      <c r="E95">
        <v>0</v>
      </c>
      <c r="F95">
        <v>5</v>
      </c>
      <c r="H95" s="2">
        <f t="shared" si="72"/>
        <v>419</v>
      </c>
      <c r="J95" s="9">
        <v>1988</v>
      </c>
      <c r="K95" s="2">
        <f t="shared" si="73"/>
        <v>269</v>
      </c>
      <c r="L95" s="2">
        <f t="shared" si="74"/>
        <v>145</v>
      </c>
      <c r="M95" s="2">
        <f t="shared" si="75"/>
        <v>5</v>
      </c>
      <c r="N95" s="2">
        <f t="shared" si="76"/>
        <v>419</v>
      </c>
      <c r="Z95" s="9">
        <v>1988</v>
      </c>
      <c r="AA95" s="2">
        <f t="shared" si="77"/>
        <v>4450317</v>
      </c>
      <c r="AB95" s="2">
        <f t="shared" si="77"/>
        <v>1689293</v>
      </c>
      <c r="AC95" s="1">
        <f t="shared" si="77"/>
        <v>12105</v>
      </c>
      <c r="AD95" s="1">
        <f t="shared" si="77"/>
        <v>64871</v>
      </c>
      <c r="AE95" s="1">
        <f t="shared" si="77"/>
        <v>99577</v>
      </c>
      <c r="AF95" s="1"/>
      <c r="AG95" s="2">
        <f t="shared" si="77"/>
        <v>6316163</v>
      </c>
      <c r="AJ95" s="9">
        <v>1988</v>
      </c>
      <c r="AK95" s="1">
        <f t="shared" si="78"/>
        <v>6.044513233551677</v>
      </c>
      <c r="AL95" s="1">
        <f t="shared" si="79"/>
        <v>8.583472494114401</v>
      </c>
      <c r="AM95" s="1">
        <f t="shared" si="80"/>
        <v>0</v>
      </c>
      <c r="AN95" s="1">
        <f t="shared" si="81"/>
        <v>0</v>
      </c>
      <c r="AO95" s="1">
        <f t="shared" si="82"/>
        <v>5.021239844542414</v>
      </c>
      <c r="AP95" s="1"/>
      <c r="AQ95" s="1">
        <f t="shared" si="83"/>
        <v>6.633774334196251</v>
      </c>
      <c r="AR95" s="1">
        <f t="shared" si="84"/>
        <v>2.8320107842970663</v>
      </c>
    </row>
    <row r="96" spans="1:44" ht="12.75">
      <c r="A96" s="9">
        <v>1989</v>
      </c>
      <c r="B96">
        <v>108</v>
      </c>
      <c r="C96">
        <v>43</v>
      </c>
      <c r="D96">
        <v>0</v>
      </c>
      <c r="E96">
        <v>0</v>
      </c>
      <c r="F96">
        <v>2</v>
      </c>
      <c r="H96" s="2">
        <f t="shared" si="72"/>
        <v>153</v>
      </c>
      <c r="J96" s="9">
        <v>1989</v>
      </c>
      <c r="K96" s="2">
        <f t="shared" si="73"/>
        <v>108</v>
      </c>
      <c r="L96" s="2">
        <f t="shared" si="74"/>
        <v>43</v>
      </c>
      <c r="M96" s="2">
        <f t="shared" si="75"/>
        <v>2</v>
      </c>
      <c r="N96" s="2">
        <f t="shared" si="76"/>
        <v>153</v>
      </c>
      <c r="Z96" s="9">
        <v>1989</v>
      </c>
      <c r="AA96" s="2">
        <f t="shared" si="77"/>
        <v>4506133</v>
      </c>
      <c r="AB96" s="2">
        <f t="shared" si="77"/>
        <v>1717577</v>
      </c>
      <c r="AC96" s="1">
        <f t="shared" si="77"/>
        <v>12451</v>
      </c>
      <c r="AD96" s="1">
        <f t="shared" si="77"/>
        <v>70100</v>
      </c>
      <c r="AE96" s="1">
        <f t="shared" si="77"/>
        <v>104828</v>
      </c>
      <c r="AF96" s="1"/>
      <c r="AG96" s="2">
        <f t="shared" si="77"/>
        <v>6411089</v>
      </c>
      <c r="AJ96" s="9">
        <v>1989</v>
      </c>
      <c r="AK96" s="1">
        <f t="shared" si="78"/>
        <v>2.3967335185179843</v>
      </c>
      <c r="AL96" s="1">
        <f t="shared" si="79"/>
        <v>2.503526770561087</v>
      </c>
      <c r="AM96" s="1">
        <f t="shared" si="80"/>
        <v>0</v>
      </c>
      <c r="AN96" s="1">
        <f t="shared" si="81"/>
        <v>0</v>
      </c>
      <c r="AO96" s="1">
        <f t="shared" si="82"/>
        <v>1.9078872057083984</v>
      </c>
      <c r="AP96" s="1"/>
      <c r="AQ96" s="1">
        <f t="shared" si="83"/>
        <v>2.3864900331285375</v>
      </c>
      <c r="AR96" s="1">
        <f t="shared" si="84"/>
        <v>1.0673554667278617</v>
      </c>
    </row>
    <row r="97" spans="1:44" ht="12.75">
      <c r="A97" s="9">
        <v>1990</v>
      </c>
      <c r="B97">
        <v>64</v>
      </c>
      <c r="C97">
        <v>44</v>
      </c>
      <c r="D97">
        <v>0</v>
      </c>
      <c r="E97">
        <v>0</v>
      </c>
      <c r="F97">
        <v>0</v>
      </c>
      <c r="H97" s="2">
        <f t="shared" si="72"/>
        <v>108</v>
      </c>
      <c r="J97" s="9">
        <v>1990</v>
      </c>
      <c r="K97" s="2">
        <f t="shared" si="73"/>
        <v>64</v>
      </c>
      <c r="L97" s="2">
        <f t="shared" si="74"/>
        <v>44</v>
      </c>
      <c r="M97" s="2">
        <f t="shared" si="75"/>
        <v>0</v>
      </c>
      <c r="N97" s="2">
        <f t="shared" si="76"/>
        <v>108</v>
      </c>
      <c r="Z97" s="9">
        <v>1990</v>
      </c>
      <c r="AA97" s="2">
        <f t="shared" si="77"/>
        <v>4560990</v>
      </c>
      <c r="AB97" s="2">
        <f t="shared" si="77"/>
        <v>1747806</v>
      </c>
      <c r="AC97" s="1">
        <f t="shared" si="77"/>
        <v>12703</v>
      </c>
      <c r="AD97" s="1">
        <f t="shared" si="77"/>
        <v>74986</v>
      </c>
      <c r="AE97" s="1">
        <f t="shared" si="77"/>
        <v>110046</v>
      </c>
      <c r="AF97" s="1"/>
      <c r="AG97" s="2">
        <f t="shared" si="77"/>
        <v>6506531</v>
      </c>
      <c r="AJ97" s="9">
        <v>1990</v>
      </c>
      <c r="AK97" s="1">
        <f t="shared" si="78"/>
        <v>1.4032041289281494</v>
      </c>
      <c r="AL97" s="1">
        <f t="shared" si="79"/>
        <v>2.5174418671179755</v>
      </c>
      <c r="AM97" s="1">
        <f t="shared" si="80"/>
        <v>0</v>
      </c>
      <c r="AN97" s="1">
        <f t="shared" si="81"/>
        <v>0</v>
      </c>
      <c r="AO97" s="1">
        <f t="shared" si="82"/>
        <v>0</v>
      </c>
      <c r="AP97" s="1"/>
      <c r="AQ97" s="1">
        <f t="shared" si="83"/>
        <v>1.65987067455761</v>
      </c>
      <c r="AR97" s="1">
        <f t="shared" si="84"/>
        <v>0</v>
      </c>
    </row>
    <row r="98" spans="1:44" ht="12.75">
      <c r="A98" s="9">
        <v>1991</v>
      </c>
      <c r="B98">
        <v>67</v>
      </c>
      <c r="C98">
        <v>39</v>
      </c>
      <c r="D98">
        <v>0</v>
      </c>
      <c r="E98">
        <v>0</v>
      </c>
      <c r="F98">
        <v>1</v>
      </c>
      <c r="H98" s="2">
        <f t="shared" si="72"/>
        <v>107</v>
      </c>
      <c r="J98" s="9">
        <v>1991</v>
      </c>
      <c r="K98" s="2">
        <f t="shared" si="73"/>
        <v>67</v>
      </c>
      <c r="L98" s="2">
        <f t="shared" si="74"/>
        <v>39</v>
      </c>
      <c r="M98" s="2">
        <f t="shared" si="75"/>
        <v>1</v>
      </c>
      <c r="N98" s="2">
        <f t="shared" si="76"/>
        <v>107</v>
      </c>
      <c r="Z98" s="9">
        <v>1991</v>
      </c>
      <c r="AA98" s="2">
        <f t="shared" si="77"/>
        <v>4616130</v>
      </c>
      <c r="AB98" s="2">
        <f t="shared" si="77"/>
        <v>1792774</v>
      </c>
      <c r="AC98" s="1">
        <f t="shared" si="77"/>
        <v>12774</v>
      </c>
      <c r="AD98" s="1">
        <f t="shared" si="77"/>
        <v>80958</v>
      </c>
      <c r="AE98" s="1">
        <f t="shared" si="77"/>
        <v>118643</v>
      </c>
      <c r="AF98" s="1"/>
      <c r="AG98" s="2">
        <f t="shared" si="77"/>
        <v>6621279</v>
      </c>
      <c r="AJ98" s="9">
        <v>1991</v>
      </c>
      <c r="AK98" s="1">
        <f t="shared" si="78"/>
        <v>1.451432260356619</v>
      </c>
      <c r="AL98" s="1">
        <f t="shared" si="79"/>
        <v>2.1753996878580346</v>
      </c>
      <c r="AM98" s="1">
        <f t="shared" si="80"/>
        <v>0</v>
      </c>
      <c r="AN98" s="1">
        <f t="shared" si="81"/>
        <v>0</v>
      </c>
      <c r="AO98" s="1">
        <f t="shared" si="82"/>
        <v>0.8428647286397006</v>
      </c>
      <c r="AP98" s="1"/>
      <c r="AQ98" s="1">
        <f t="shared" si="83"/>
        <v>1.6160019839067348</v>
      </c>
      <c r="AR98" s="1">
        <f t="shared" si="84"/>
        <v>0.47086521483225424</v>
      </c>
    </row>
    <row r="99" spans="1:44" ht="12.75">
      <c r="A99" s="9">
        <v>1992</v>
      </c>
      <c r="B99">
        <v>173</v>
      </c>
      <c r="C99">
        <v>299</v>
      </c>
      <c r="D99">
        <v>0</v>
      </c>
      <c r="E99">
        <v>0</v>
      </c>
      <c r="F99">
        <v>0</v>
      </c>
      <c r="H99" s="2">
        <f t="shared" si="72"/>
        <v>472</v>
      </c>
      <c r="J99" s="9">
        <v>1992</v>
      </c>
      <c r="K99" s="2">
        <f t="shared" si="73"/>
        <v>173</v>
      </c>
      <c r="L99" s="2">
        <f t="shared" si="74"/>
        <v>299</v>
      </c>
      <c r="M99" s="2">
        <f t="shared" si="75"/>
        <v>0</v>
      </c>
      <c r="N99" s="2">
        <f t="shared" si="76"/>
        <v>472</v>
      </c>
      <c r="Z99" s="9">
        <v>1992</v>
      </c>
      <c r="AA99" s="2">
        <f t="shared" si="77"/>
        <v>4686847</v>
      </c>
      <c r="AB99" s="2">
        <f t="shared" si="77"/>
        <v>1841545</v>
      </c>
      <c r="AC99" s="1">
        <f t="shared" si="77"/>
        <v>13230</v>
      </c>
      <c r="AD99" s="1">
        <f t="shared" si="77"/>
        <v>88668</v>
      </c>
      <c r="AE99" s="1">
        <f t="shared" si="77"/>
        <v>129184</v>
      </c>
      <c r="AF99" s="1"/>
      <c r="AG99" s="2">
        <f t="shared" si="77"/>
        <v>6759474</v>
      </c>
      <c r="AJ99" s="9">
        <v>1992</v>
      </c>
      <c r="AK99" s="1">
        <f t="shared" si="78"/>
        <v>3.691180872770116</v>
      </c>
      <c r="AL99" s="1">
        <f t="shared" si="79"/>
        <v>16.23636674640044</v>
      </c>
      <c r="AM99" s="1">
        <f t="shared" si="80"/>
        <v>0</v>
      </c>
      <c r="AN99" s="1">
        <f t="shared" si="81"/>
        <v>0</v>
      </c>
      <c r="AO99" s="1">
        <f t="shared" si="82"/>
        <v>0</v>
      </c>
      <c r="AP99" s="1"/>
      <c r="AQ99" s="1">
        <f t="shared" si="83"/>
        <v>6.982791856289409</v>
      </c>
      <c r="AR99" s="1">
        <f t="shared" si="84"/>
        <v>0</v>
      </c>
    </row>
    <row r="100" spans="1:44" ht="12.75">
      <c r="A100" s="9">
        <v>1993</v>
      </c>
      <c r="B100">
        <v>291</v>
      </c>
      <c r="C100">
        <v>620</v>
      </c>
      <c r="D100">
        <v>0</v>
      </c>
      <c r="E100">
        <v>0</v>
      </c>
      <c r="F100">
        <v>2</v>
      </c>
      <c r="H100" s="2">
        <f t="shared" si="72"/>
        <v>913</v>
      </c>
      <c r="J100" s="9">
        <v>1993</v>
      </c>
      <c r="K100" s="2">
        <f t="shared" si="73"/>
        <v>291</v>
      </c>
      <c r="L100" s="2">
        <f t="shared" si="74"/>
        <v>620</v>
      </c>
      <c r="M100" s="2">
        <f t="shared" si="75"/>
        <v>2</v>
      </c>
      <c r="N100" s="2">
        <f t="shared" si="76"/>
        <v>913</v>
      </c>
      <c r="Z100" s="9">
        <v>1993</v>
      </c>
      <c r="AA100" s="2">
        <f t="shared" si="77"/>
        <v>4751956</v>
      </c>
      <c r="AB100" s="2">
        <f t="shared" si="77"/>
        <v>1893269</v>
      </c>
      <c r="AC100" s="1">
        <f t="shared" si="77"/>
        <v>13619</v>
      </c>
      <c r="AD100" s="1">
        <f t="shared" si="77"/>
        <v>96669</v>
      </c>
      <c r="AE100" s="1">
        <f t="shared" si="77"/>
        <v>138579</v>
      </c>
      <c r="AF100" s="1"/>
      <c r="AG100" s="2">
        <f t="shared" si="77"/>
        <v>6894092</v>
      </c>
      <c r="AJ100" s="9">
        <v>1993</v>
      </c>
      <c r="AK100" s="1">
        <f t="shared" si="78"/>
        <v>6.12379407553437</v>
      </c>
      <c r="AL100" s="1">
        <f t="shared" si="79"/>
        <v>32.747591599503295</v>
      </c>
      <c r="AM100" s="1">
        <f t="shared" si="80"/>
        <v>0</v>
      </c>
      <c r="AN100" s="1">
        <f t="shared" si="81"/>
        <v>0</v>
      </c>
      <c r="AO100" s="1">
        <f t="shared" si="82"/>
        <v>1.4432201127154909</v>
      </c>
      <c r="AP100" s="1"/>
      <c r="AQ100" s="1">
        <f t="shared" si="83"/>
        <v>13.243223328032178</v>
      </c>
      <c r="AR100" s="1">
        <f t="shared" si="84"/>
        <v>0.8036421060245031</v>
      </c>
    </row>
    <row r="101" spans="1:44" ht="12.75">
      <c r="A101" s="9">
        <v>1994</v>
      </c>
      <c r="B101">
        <v>281</v>
      </c>
      <c r="C101">
        <v>576</v>
      </c>
      <c r="D101">
        <v>2</v>
      </c>
      <c r="E101">
        <v>1</v>
      </c>
      <c r="F101">
        <v>4</v>
      </c>
      <c r="H101" s="2">
        <f t="shared" si="72"/>
        <v>864</v>
      </c>
      <c r="J101" s="9">
        <v>1994</v>
      </c>
      <c r="K101" s="2">
        <f t="shared" si="73"/>
        <v>281</v>
      </c>
      <c r="L101" s="2">
        <f t="shared" si="74"/>
        <v>576</v>
      </c>
      <c r="M101" s="2">
        <f t="shared" si="75"/>
        <v>7</v>
      </c>
      <c r="N101" s="2">
        <f t="shared" si="76"/>
        <v>864</v>
      </c>
      <c r="Z101" s="9">
        <v>1994</v>
      </c>
      <c r="AA101" s="2">
        <f t="shared" si="77"/>
        <v>4826583</v>
      </c>
      <c r="AB101" s="2">
        <f t="shared" si="77"/>
        <v>1949003</v>
      </c>
      <c r="AC101" s="1">
        <f t="shared" si="77"/>
        <v>13948</v>
      </c>
      <c r="AD101" s="1">
        <f t="shared" si="77"/>
        <v>106102</v>
      </c>
      <c r="AE101" s="1">
        <f t="shared" si="77"/>
        <v>150264</v>
      </c>
      <c r="AF101" s="1"/>
      <c r="AG101" s="2">
        <f t="shared" si="77"/>
        <v>7045900</v>
      </c>
      <c r="AJ101" s="9">
        <v>1994</v>
      </c>
      <c r="AK101" s="1">
        <f t="shared" si="78"/>
        <v>5.821924123132245</v>
      </c>
      <c r="AL101" s="1">
        <f t="shared" si="79"/>
        <v>29.553571749248206</v>
      </c>
      <c r="AM101" s="1">
        <f t="shared" si="80"/>
        <v>14.338973329509606</v>
      </c>
      <c r="AN101" s="1">
        <f t="shared" si="81"/>
        <v>0.9424893027464138</v>
      </c>
      <c r="AO101" s="1">
        <f t="shared" si="82"/>
        <v>2.6619815790874726</v>
      </c>
      <c r="AP101" s="1"/>
      <c r="AQ101" s="1">
        <f t="shared" si="83"/>
        <v>12.26245050312948</v>
      </c>
      <c r="AR101" s="1">
        <f t="shared" si="84"/>
        <v>2.5895810057932627</v>
      </c>
    </row>
    <row r="102" spans="1:44" ht="12.75">
      <c r="A102" s="9">
        <v>1995</v>
      </c>
      <c r="B102">
        <v>66</v>
      </c>
      <c r="C102">
        <v>125</v>
      </c>
      <c r="D102">
        <v>0</v>
      </c>
      <c r="E102">
        <v>0</v>
      </c>
      <c r="F102">
        <v>0</v>
      </c>
      <c r="H102" s="2">
        <f t="shared" si="72"/>
        <v>191</v>
      </c>
      <c r="J102" s="9">
        <v>1995</v>
      </c>
      <c r="K102" s="2">
        <f t="shared" si="73"/>
        <v>66</v>
      </c>
      <c r="L102" s="2">
        <f t="shared" si="74"/>
        <v>125</v>
      </c>
      <c r="M102" s="2">
        <f t="shared" si="75"/>
        <v>0</v>
      </c>
      <c r="N102" s="2">
        <f t="shared" si="76"/>
        <v>191</v>
      </c>
      <c r="Z102" s="9">
        <v>1995</v>
      </c>
      <c r="AA102" s="2">
        <f t="shared" si="77"/>
        <v>4893111</v>
      </c>
      <c r="AB102" s="2">
        <f t="shared" si="77"/>
        <v>1998061</v>
      </c>
      <c r="AC102" s="1">
        <f t="shared" si="77"/>
        <v>14369</v>
      </c>
      <c r="AD102" s="1">
        <f t="shared" si="77"/>
        <v>115588</v>
      </c>
      <c r="AE102" s="1">
        <f t="shared" si="77"/>
        <v>167409</v>
      </c>
      <c r="AF102" s="1"/>
      <c r="AG102" s="2">
        <f t="shared" si="77"/>
        <v>7188538</v>
      </c>
      <c r="AJ102" s="9">
        <v>1995</v>
      </c>
      <c r="AK102" s="1">
        <f t="shared" si="78"/>
        <v>1.3488351275906065</v>
      </c>
      <c r="AL102" s="1">
        <f t="shared" si="79"/>
        <v>6.25606525526498</v>
      </c>
      <c r="AM102" s="1">
        <f t="shared" si="80"/>
        <v>0</v>
      </c>
      <c r="AN102" s="1">
        <f t="shared" si="81"/>
        <v>0</v>
      </c>
      <c r="AO102" s="1">
        <f t="shared" si="82"/>
        <v>0</v>
      </c>
      <c r="AP102" s="1"/>
      <c r="AQ102" s="1">
        <f t="shared" si="83"/>
        <v>2.657007586243545</v>
      </c>
      <c r="AR102" s="1">
        <f t="shared" si="84"/>
        <v>0</v>
      </c>
    </row>
    <row r="103" spans="1:44" ht="12.75">
      <c r="A103" s="9">
        <v>1996</v>
      </c>
      <c r="B103">
        <v>21</v>
      </c>
      <c r="C103">
        <v>49</v>
      </c>
      <c r="D103">
        <v>0</v>
      </c>
      <c r="E103">
        <v>0</v>
      </c>
      <c r="F103">
        <v>1</v>
      </c>
      <c r="H103" s="2">
        <f t="shared" si="72"/>
        <v>71</v>
      </c>
      <c r="J103" s="9">
        <v>1996</v>
      </c>
      <c r="K103" s="2">
        <f t="shared" si="73"/>
        <v>21</v>
      </c>
      <c r="L103" s="2">
        <f t="shared" si="74"/>
        <v>49</v>
      </c>
      <c r="M103" s="2">
        <f t="shared" si="75"/>
        <v>1</v>
      </c>
      <c r="N103" s="2">
        <f t="shared" si="76"/>
        <v>71</v>
      </c>
      <c r="Z103" s="9">
        <v>1996</v>
      </c>
      <c r="AA103" s="2">
        <f t="shared" si="77"/>
        <v>4958266</v>
      </c>
      <c r="AB103" s="2">
        <f t="shared" si="77"/>
        <v>2050148</v>
      </c>
      <c r="AC103" s="1">
        <f t="shared" si="77"/>
        <v>14780</v>
      </c>
      <c r="AD103" s="1">
        <f t="shared" si="77"/>
        <v>124367</v>
      </c>
      <c r="AE103" s="1">
        <f t="shared" si="77"/>
        <v>184664</v>
      </c>
      <c r="AF103" s="1"/>
      <c r="AG103" s="2">
        <f t="shared" si="77"/>
        <v>7332225</v>
      </c>
      <c r="AJ103" s="9">
        <v>1996</v>
      </c>
      <c r="AK103" s="1">
        <f t="shared" si="78"/>
        <v>0.42353516330104113</v>
      </c>
      <c r="AL103" s="1">
        <f t="shared" si="79"/>
        <v>2.3900713509463705</v>
      </c>
      <c r="AM103" s="1">
        <f t="shared" si="80"/>
        <v>0</v>
      </c>
      <c r="AN103" s="1">
        <f t="shared" si="81"/>
        <v>0</v>
      </c>
      <c r="AO103" s="1">
        <f t="shared" si="82"/>
        <v>0.5415240653294632</v>
      </c>
      <c r="AP103" s="1"/>
      <c r="AQ103" s="1">
        <f t="shared" si="83"/>
        <v>0.9683281677799032</v>
      </c>
      <c r="AR103" s="1">
        <f t="shared" si="84"/>
        <v>0.3088221215462106</v>
      </c>
    </row>
    <row r="104" spans="1:44" ht="12.75">
      <c r="A104" s="9">
        <v>1997</v>
      </c>
      <c r="B104">
        <v>0</v>
      </c>
      <c r="C104">
        <v>0</v>
      </c>
      <c r="D104">
        <v>0</v>
      </c>
      <c r="E104">
        <v>0</v>
      </c>
      <c r="F104">
        <v>0</v>
      </c>
      <c r="H104" s="2">
        <f t="shared" si="72"/>
        <v>0</v>
      </c>
      <c r="J104" s="9">
        <v>1997</v>
      </c>
      <c r="K104" s="2">
        <f t="shared" si="73"/>
        <v>0</v>
      </c>
      <c r="L104" s="2">
        <f t="shared" si="74"/>
        <v>0</v>
      </c>
      <c r="M104" s="2">
        <f t="shared" si="75"/>
        <v>0</v>
      </c>
      <c r="N104" s="2">
        <f t="shared" si="76"/>
        <v>0</v>
      </c>
      <c r="Z104" s="9">
        <v>1997</v>
      </c>
      <c r="AA104" s="2">
        <f t="shared" si="77"/>
        <v>5026613</v>
      </c>
      <c r="AB104" s="2">
        <f t="shared" si="77"/>
        <v>2105477</v>
      </c>
      <c r="AC104" s="1">
        <f t="shared" si="77"/>
        <v>14990</v>
      </c>
      <c r="AD104" s="1">
        <f t="shared" si="77"/>
        <v>133823</v>
      </c>
      <c r="AE104" s="1">
        <f t="shared" si="77"/>
        <v>205191</v>
      </c>
      <c r="AF104" s="1"/>
      <c r="AG104" s="2">
        <f t="shared" si="77"/>
        <v>7486094</v>
      </c>
      <c r="AJ104" s="9">
        <v>1997</v>
      </c>
      <c r="AK104" s="1">
        <f t="shared" si="78"/>
        <v>0</v>
      </c>
      <c r="AL104" s="1">
        <f t="shared" si="79"/>
        <v>0</v>
      </c>
      <c r="AM104" s="1">
        <f t="shared" si="80"/>
        <v>0</v>
      </c>
      <c r="AN104" s="1">
        <f t="shared" si="81"/>
        <v>0</v>
      </c>
      <c r="AO104" s="1">
        <f t="shared" si="82"/>
        <v>0</v>
      </c>
      <c r="AP104" s="1"/>
      <c r="AQ104" s="1">
        <f t="shared" si="83"/>
        <v>0</v>
      </c>
      <c r="AR104" s="1">
        <f t="shared" si="84"/>
        <v>0</v>
      </c>
    </row>
    <row r="105" spans="1:44" ht="12.75">
      <c r="A105" s="9">
        <v>1998</v>
      </c>
      <c r="B105">
        <v>8</v>
      </c>
      <c r="C105">
        <v>39</v>
      </c>
      <c r="D105">
        <v>0</v>
      </c>
      <c r="E105">
        <v>0</v>
      </c>
      <c r="F105">
        <v>0</v>
      </c>
      <c r="H105" s="2"/>
      <c r="J105" s="9">
        <v>1998</v>
      </c>
      <c r="K105" s="2"/>
      <c r="L105" s="2"/>
      <c r="M105" s="2"/>
      <c r="N105" s="2"/>
      <c r="Z105" s="9">
        <v>1998</v>
      </c>
      <c r="AA105" s="2">
        <f t="shared" si="77"/>
        <v>5095472</v>
      </c>
      <c r="AB105" s="2">
        <f t="shared" si="77"/>
        <v>2160382</v>
      </c>
      <c r="AC105" s="1">
        <f t="shared" si="77"/>
        <v>15527</v>
      </c>
      <c r="AD105" s="1">
        <f t="shared" si="77"/>
        <v>144229</v>
      </c>
      <c r="AE105" s="1">
        <f t="shared" si="77"/>
        <v>220912</v>
      </c>
      <c r="AF105" s="1"/>
      <c r="AG105" s="2">
        <f t="shared" si="77"/>
        <v>7636522</v>
      </c>
      <c r="AJ105" s="9">
        <v>1998</v>
      </c>
      <c r="AK105" s="1"/>
      <c r="AL105" s="1"/>
      <c r="AM105" s="1"/>
      <c r="AN105" s="1"/>
      <c r="AO105" s="1"/>
      <c r="AP105" s="1"/>
      <c r="AQ105" s="1"/>
      <c r="AR105" s="1"/>
    </row>
    <row r="106" spans="1:44" ht="12.75">
      <c r="A106" s="9">
        <v>1999</v>
      </c>
      <c r="B106">
        <v>21</v>
      </c>
      <c r="C106">
        <v>43</v>
      </c>
      <c r="D106">
        <v>0</v>
      </c>
      <c r="E106">
        <v>0</v>
      </c>
      <c r="F106">
        <v>2</v>
      </c>
      <c r="H106" s="2">
        <f t="shared" si="72"/>
        <v>66</v>
      </c>
      <c r="J106" s="9">
        <v>1999</v>
      </c>
      <c r="K106" s="2">
        <f t="shared" si="73"/>
        <v>21</v>
      </c>
      <c r="L106" s="2">
        <f t="shared" si="74"/>
        <v>43</v>
      </c>
      <c r="M106" s="2">
        <f t="shared" si="75"/>
        <v>2</v>
      </c>
      <c r="N106" s="2">
        <f t="shared" si="76"/>
        <v>66</v>
      </c>
      <c r="Z106" s="9">
        <v>1999</v>
      </c>
      <c r="AA106" s="2">
        <f t="shared" si="77"/>
        <v>5162469</v>
      </c>
      <c r="AB106" s="2">
        <f t="shared" si="77"/>
        <v>2215435</v>
      </c>
      <c r="AC106" s="1">
        <f t="shared" si="77"/>
        <v>15867</v>
      </c>
      <c r="AD106" s="1">
        <f t="shared" si="77"/>
        <v>154903</v>
      </c>
      <c r="AE106" s="1">
        <f t="shared" si="77"/>
        <v>239566</v>
      </c>
      <c r="AF106" s="1"/>
      <c r="AG106" s="2">
        <f t="shared" si="77"/>
        <v>7788240</v>
      </c>
      <c r="AJ106" s="9">
        <v>1999</v>
      </c>
      <c r="AK106" s="1">
        <f t="shared" si="78"/>
        <v>0.4067821036794603</v>
      </c>
      <c r="AL106" s="1">
        <f>(C106/AB106)*100000</f>
        <v>1.9409280795870787</v>
      </c>
      <c r="AM106" s="1">
        <f>(D106/AC106)*100000</f>
        <v>0</v>
      </c>
      <c r="AN106" s="1">
        <f>(E106/AD106)*100000</f>
        <v>0</v>
      </c>
      <c r="AO106" s="1">
        <f>(F106/AE106)*100000</f>
        <v>0.8348430077723884</v>
      </c>
      <c r="AP106" s="1"/>
      <c r="AQ106" s="1">
        <f t="shared" si="83"/>
        <v>0.8474315121259745</v>
      </c>
      <c r="AR106" s="1">
        <f t="shared" si="84"/>
        <v>0.4874054433439912</v>
      </c>
    </row>
    <row r="107" spans="1:14" s="4" customFormat="1" ht="12.75">
      <c r="A107" s="13" t="s">
        <v>13</v>
      </c>
      <c r="B107" s="21">
        <f aca="true" t="shared" si="85" ref="B107:G107">SUM(B90:B106)</f>
        <v>1640</v>
      </c>
      <c r="C107" s="21">
        <f t="shared" si="85"/>
        <v>2212</v>
      </c>
      <c r="D107" s="21">
        <f t="shared" si="85"/>
        <v>2</v>
      </c>
      <c r="E107" s="21">
        <f t="shared" si="85"/>
        <v>1</v>
      </c>
      <c r="F107" s="21">
        <f t="shared" si="85"/>
        <v>17</v>
      </c>
      <c r="G107" s="21">
        <f t="shared" si="85"/>
        <v>0</v>
      </c>
      <c r="H107" s="21">
        <f>SUM(B107:G107)</f>
        <v>3872</v>
      </c>
      <c r="J107" s="13" t="s">
        <v>13</v>
      </c>
      <c r="K107" s="21">
        <f>B107</f>
        <v>1640</v>
      </c>
      <c r="L107" s="21">
        <f>C107</f>
        <v>2212</v>
      </c>
      <c r="M107" s="21">
        <f t="shared" si="75"/>
        <v>20</v>
      </c>
      <c r="N107" s="21">
        <f>H107</f>
        <v>3872</v>
      </c>
    </row>
    <row r="109" spans="26:33" ht="12.75">
      <c r="Z109" s="32" t="str">
        <f>CONCATENATE("Percent of Total Population, By Race: ",$A$1)</f>
        <v>Percent of Total Population, By Race: GEORGIA</v>
      </c>
      <c r="AA109" s="32"/>
      <c r="AB109" s="32"/>
      <c r="AC109" s="32"/>
      <c r="AD109" s="32"/>
      <c r="AE109" s="32"/>
      <c r="AF109" s="32"/>
      <c r="AG109" s="32"/>
    </row>
    <row r="110" spans="26:33" ht="12.75">
      <c r="Z110" s="20" t="s">
        <v>25</v>
      </c>
      <c r="AA110" s="19" t="s">
        <v>11</v>
      </c>
      <c r="AB110" s="19" t="s">
        <v>12</v>
      </c>
      <c r="AC110" s="19" t="s">
        <v>28</v>
      </c>
      <c r="AD110" s="19" t="s">
        <v>29</v>
      </c>
      <c r="AE110" s="19" t="s">
        <v>26</v>
      </c>
      <c r="AF110" s="19" t="s">
        <v>30</v>
      </c>
      <c r="AG110" s="19" t="s">
        <v>33</v>
      </c>
    </row>
    <row r="111" spans="26:33" ht="12.75">
      <c r="Z111" s="9">
        <v>1983</v>
      </c>
      <c r="AA111" s="2">
        <f aca="true" t="shared" si="86" ref="AA111:AE120">(AA90/$AG90)*100</f>
        <v>70.98332060114548</v>
      </c>
      <c r="AB111" s="2">
        <f t="shared" si="86"/>
        <v>26.877113205676274</v>
      </c>
      <c r="AC111" s="1">
        <f t="shared" si="86"/>
        <v>0.16423824041629365</v>
      </c>
      <c r="AD111" s="1">
        <f t="shared" si="86"/>
        <v>0.699286904374519</v>
      </c>
      <c r="AE111" s="1">
        <f t="shared" si="86"/>
        <v>1.2760410483874347</v>
      </c>
      <c r="AF111" s="1">
        <f>100-AA111-AB111</f>
        <v>2.139566193178247</v>
      </c>
      <c r="AG111" s="26">
        <f>AB111/AA111</f>
        <v>0.37863984071270046</v>
      </c>
    </row>
    <row r="112" spans="26:33" ht="12.75">
      <c r="Z112" s="9">
        <v>1984</v>
      </c>
      <c r="AA112" s="2">
        <f t="shared" si="86"/>
        <v>70.85789076261337</v>
      </c>
      <c r="AB112" s="2">
        <f t="shared" si="86"/>
        <v>26.870560596624284</v>
      </c>
      <c r="AC112" s="1">
        <f t="shared" si="86"/>
        <v>0.1713121696422359</v>
      </c>
      <c r="AD112" s="1">
        <f t="shared" si="86"/>
        <v>0.764529400534228</v>
      </c>
      <c r="AE112" s="1">
        <f t="shared" si="86"/>
        <v>1.3357070705858924</v>
      </c>
      <c r="AF112" s="1">
        <f aca="true" t="shared" si="87" ref="AF112:AF127">100-AA112-AB112</f>
        <v>2.271548640762351</v>
      </c>
      <c r="AG112" s="26">
        <f aca="true" t="shared" si="88" ref="AG112:AG127">AB112/AA112</f>
        <v>0.37921761863679343</v>
      </c>
    </row>
    <row r="113" spans="26:33" ht="12.75">
      <c r="Z113" s="9">
        <v>1985</v>
      </c>
      <c r="AA113" s="2">
        <f t="shared" si="86"/>
        <v>70.74466229592217</v>
      </c>
      <c r="AB113" s="2">
        <f t="shared" si="86"/>
        <v>26.84690565108686</v>
      </c>
      <c r="AC113" s="1">
        <f t="shared" si="86"/>
        <v>0.17877878992586552</v>
      </c>
      <c r="AD113" s="1">
        <f t="shared" si="86"/>
        <v>0.8362185032357954</v>
      </c>
      <c r="AE113" s="1">
        <f t="shared" si="86"/>
        <v>1.3934347598293115</v>
      </c>
      <c r="AF113" s="1">
        <f t="shared" si="87"/>
        <v>2.408432052990971</v>
      </c>
      <c r="AG113" s="26">
        <f t="shared" si="88"/>
        <v>0.37949019445152343</v>
      </c>
    </row>
    <row r="114" spans="26:33" ht="12.75">
      <c r="Z114" s="9">
        <v>1986</v>
      </c>
      <c r="AA114" s="2">
        <f t="shared" si="86"/>
        <v>70.67937664943318</v>
      </c>
      <c r="AB114" s="2">
        <f t="shared" si="86"/>
        <v>26.780829054544654</v>
      </c>
      <c r="AC114" s="1">
        <f t="shared" si="86"/>
        <v>0.18387204819459277</v>
      </c>
      <c r="AD114" s="1">
        <f t="shared" si="86"/>
        <v>0.9024324424709589</v>
      </c>
      <c r="AE114" s="1">
        <f t="shared" si="86"/>
        <v>1.4534898053566128</v>
      </c>
      <c r="AF114" s="1">
        <f t="shared" si="87"/>
        <v>2.5397942960221656</v>
      </c>
      <c r="AG114" s="26">
        <f t="shared" si="88"/>
        <v>0.37890584671362443</v>
      </c>
    </row>
    <row r="115" spans="26:33" ht="12.75">
      <c r="Z115" s="9">
        <v>1987</v>
      </c>
      <c r="AA115" s="2">
        <f t="shared" si="86"/>
        <v>70.60075232560874</v>
      </c>
      <c r="AB115" s="2">
        <f t="shared" si="86"/>
        <v>26.735230930845898</v>
      </c>
      <c r="AC115" s="1">
        <f t="shared" si="86"/>
        <v>0.18790422521962696</v>
      </c>
      <c r="AD115" s="1">
        <f t="shared" si="86"/>
        <v>0.9627313085549736</v>
      </c>
      <c r="AE115" s="1">
        <f t="shared" si="86"/>
        <v>1.513381209770762</v>
      </c>
      <c r="AF115" s="1">
        <f t="shared" si="87"/>
        <v>2.664016743545364</v>
      </c>
      <c r="AG115" s="26">
        <f t="shared" si="88"/>
        <v>0.37868195522256964</v>
      </c>
    </row>
    <row r="116" spans="26:33" ht="12.75">
      <c r="Z116" s="9">
        <v>1988</v>
      </c>
      <c r="AA116" s="2">
        <f t="shared" si="86"/>
        <v>70.4591854263419</v>
      </c>
      <c r="AB116" s="2">
        <f t="shared" si="86"/>
        <v>26.7455573898267</v>
      </c>
      <c r="AC116" s="1">
        <f t="shared" si="86"/>
        <v>0.19165116543065783</v>
      </c>
      <c r="AD116" s="1">
        <f t="shared" si="86"/>
        <v>1.0270634244239738</v>
      </c>
      <c r="AE116" s="1">
        <f t="shared" si="86"/>
        <v>1.5765425939767546</v>
      </c>
      <c r="AF116" s="1">
        <f t="shared" si="87"/>
        <v>2.7952571838313958</v>
      </c>
      <c r="AG116" s="26">
        <f t="shared" si="88"/>
        <v>0.37958936408350236</v>
      </c>
    </row>
    <row r="117" spans="26:33" ht="12.75">
      <c r="Z117" s="9">
        <v>1989</v>
      </c>
      <c r="AA117" s="2">
        <f t="shared" si="86"/>
        <v>70.286545702298</v>
      </c>
      <c r="AB117" s="2">
        <f t="shared" si="86"/>
        <v>26.790721513926886</v>
      </c>
      <c r="AC117" s="1">
        <f t="shared" si="86"/>
        <v>0.1942103751796302</v>
      </c>
      <c r="AD117" s="1">
        <f t="shared" si="86"/>
        <v>1.093417982498761</v>
      </c>
      <c r="AE117" s="1">
        <f t="shared" si="86"/>
        <v>1.635104426096721</v>
      </c>
      <c r="AF117" s="1">
        <f t="shared" si="87"/>
        <v>2.922732783775114</v>
      </c>
      <c r="AG117" s="26">
        <f t="shared" si="88"/>
        <v>0.3811642931977374</v>
      </c>
    </row>
    <row r="118" spans="26:33" ht="12.75">
      <c r="Z118" s="9">
        <v>1990</v>
      </c>
      <c r="AA118" s="2">
        <f t="shared" si="86"/>
        <v>70.09864396250475</v>
      </c>
      <c r="AB118" s="2">
        <f t="shared" si="86"/>
        <v>26.862332631628128</v>
      </c>
      <c r="AC118" s="1">
        <f t="shared" si="86"/>
        <v>0.1952346035083826</v>
      </c>
      <c r="AD118" s="1">
        <f t="shared" si="86"/>
        <v>1.1524728000220086</v>
      </c>
      <c r="AE118" s="1">
        <f t="shared" si="86"/>
        <v>1.691316002336729</v>
      </c>
      <c r="AF118" s="1">
        <f t="shared" si="87"/>
        <v>3.0390234058671197</v>
      </c>
      <c r="AG118" s="26">
        <f t="shared" si="88"/>
        <v>0.3832075930883426</v>
      </c>
    </row>
    <row r="119" spans="26:33" ht="12.75">
      <c r="Z119" s="9">
        <v>1991</v>
      </c>
      <c r="AA119" s="2">
        <f t="shared" si="86"/>
        <v>69.71659100907846</v>
      </c>
      <c r="AB119" s="2">
        <f t="shared" si="86"/>
        <v>27.075947109312263</v>
      </c>
      <c r="AC119" s="1">
        <f t="shared" si="86"/>
        <v>0.192923451798361</v>
      </c>
      <c r="AD119" s="1">
        <f t="shared" si="86"/>
        <v>1.2226942861039385</v>
      </c>
      <c r="AE119" s="1">
        <f t="shared" si="86"/>
        <v>1.7918441437069788</v>
      </c>
      <c r="AF119" s="1">
        <f t="shared" si="87"/>
        <v>3.20746188160928</v>
      </c>
      <c r="AG119" s="26">
        <f t="shared" si="88"/>
        <v>0.38837164464605634</v>
      </c>
    </row>
    <row r="120" spans="26:33" ht="12.75">
      <c r="Z120" s="9">
        <v>1992</v>
      </c>
      <c r="AA120" s="2">
        <f t="shared" si="86"/>
        <v>69.33745140524248</v>
      </c>
      <c r="AB120" s="2">
        <f t="shared" si="86"/>
        <v>27.24390980718322</v>
      </c>
      <c r="AC120" s="1">
        <f t="shared" si="86"/>
        <v>0.19572528868370526</v>
      </c>
      <c r="AD120" s="1">
        <f t="shared" si="86"/>
        <v>1.311758873545486</v>
      </c>
      <c r="AE120" s="1">
        <f t="shared" si="86"/>
        <v>1.9111546253451084</v>
      </c>
      <c r="AF120" s="1">
        <f t="shared" si="87"/>
        <v>3.418638787574306</v>
      </c>
      <c r="AG120" s="26">
        <f t="shared" si="88"/>
        <v>0.39291766938412964</v>
      </c>
    </row>
    <row r="121" spans="26:33" ht="12.75">
      <c r="Z121" s="9">
        <v>1993</v>
      </c>
      <c r="AA121" s="2">
        <f aca="true" t="shared" si="89" ref="AA121:AE127">(AA100/$AG100)*100</f>
        <v>68.9279458411637</v>
      </c>
      <c r="AB121" s="2">
        <f t="shared" si="89"/>
        <v>27.46219516652809</v>
      </c>
      <c r="AC121" s="1">
        <f t="shared" si="89"/>
        <v>0.19754595674093123</v>
      </c>
      <c r="AD121" s="1">
        <f t="shared" si="89"/>
        <v>1.4022006088691592</v>
      </c>
      <c r="AE121" s="1">
        <f t="shared" si="89"/>
        <v>2.010112426698106</v>
      </c>
      <c r="AF121" s="1">
        <f t="shared" si="87"/>
        <v>3.6098589923082045</v>
      </c>
      <c r="AG121" s="26">
        <f t="shared" si="88"/>
        <v>0.39841888266642195</v>
      </c>
    </row>
    <row r="122" spans="26:33" ht="12.75">
      <c r="Z122" s="9">
        <v>1994</v>
      </c>
      <c r="AA122" s="2">
        <f t="shared" si="89"/>
        <v>68.5020082601229</v>
      </c>
      <c r="AB122" s="2">
        <f t="shared" si="89"/>
        <v>27.661519465220906</v>
      </c>
      <c r="AC122" s="1">
        <f t="shared" si="89"/>
        <v>0.19795909677968745</v>
      </c>
      <c r="AD122" s="1">
        <f t="shared" si="89"/>
        <v>1.505868661207227</v>
      </c>
      <c r="AE122" s="1">
        <f t="shared" si="89"/>
        <v>2.1326445166692687</v>
      </c>
      <c r="AF122" s="1">
        <f t="shared" si="87"/>
        <v>3.836472274656188</v>
      </c>
      <c r="AG122" s="26">
        <f t="shared" si="88"/>
        <v>0.40380596376359834</v>
      </c>
    </row>
    <row r="123" spans="26:33" ht="12.75">
      <c r="Z123" s="9">
        <v>1995</v>
      </c>
      <c r="AA123" s="2">
        <f t="shared" si="89"/>
        <v>68.0682358499044</v>
      </c>
      <c r="AB123" s="2">
        <f t="shared" si="89"/>
        <v>27.795095470038554</v>
      </c>
      <c r="AC123" s="1">
        <f t="shared" si="89"/>
        <v>0.19988765448551568</v>
      </c>
      <c r="AD123" s="1">
        <f t="shared" si="89"/>
        <v>1.607948653815282</v>
      </c>
      <c r="AE123" s="1">
        <f t="shared" si="89"/>
        <v>2.32883237175626</v>
      </c>
      <c r="AF123" s="1">
        <f t="shared" si="87"/>
        <v>4.136668680057049</v>
      </c>
      <c r="AG123" s="26">
        <f t="shared" si="88"/>
        <v>0.4083416460407295</v>
      </c>
    </row>
    <row r="124" spans="26:33" ht="12.75">
      <c r="Z124" s="9">
        <v>1996</v>
      </c>
      <c r="AA124" s="2">
        <f t="shared" si="89"/>
        <v>67.62293846683647</v>
      </c>
      <c r="AB124" s="2">
        <f t="shared" si="89"/>
        <v>27.96078952841736</v>
      </c>
      <c r="AC124" s="1">
        <f t="shared" si="89"/>
        <v>0.20157591999699956</v>
      </c>
      <c r="AD124" s="1">
        <f t="shared" si="89"/>
        <v>1.6961699893279325</v>
      </c>
      <c r="AE124" s="1">
        <f t="shared" si="89"/>
        <v>2.51852609542124</v>
      </c>
      <c r="AF124" s="1">
        <f t="shared" si="87"/>
        <v>4.416272004746165</v>
      </c>
      <c r="AG124" s="26">
        <f t="shared" si="88"/>
        <v>0.4134808418910965</v>
      </c>
    </row>
    <row r="125" spans="26:33" ht="12.75">
      <c r="Z125" s="9">
        <v>1997</v>
      </c>
      <c r="AA125" s="2">
        <f t="shared" si="89"/>
        <v>67.1460043114607</v>
      </c>
      <c r="AB125" s="2">
        <f t="shared" si="89"/>
        <v>28.125174490194755</v>
      </c>
      <c r="AC125" s="1">
        <f t="shared" si="89"/>
        <v>0.20023793449561278</v>
      </c>
      <c r="AD125" s="1">
        <f t="shared" si="89"/>
        <v>1.7876211546368506</v>
      </c>
      <c r="AE125" s="1">
        <f t="shared" si="89"/>
        <v>2.7409621092120937</v>
      </c>
      <c r="AF125" s="1">
        <f t="shared" si="87"/>
        <v>4.728821198344544</v>
      </c>
      <c r="AG125" s="26">
        <f t="shared" si="88"/>
        <v>0.41886594412579603</v>
      </c>
    </row>
    <row r="126" spans="26:33" ht="12.75">
      <c r="Z126" s="9">
        <v>1998</v>
      </c>
      <c r="AA126" s="2">
        <f t="shared" si="89"/>
        <v>66.72503529748228</v>
      </c>
      <c r="AB126" s="2">
        <f t="shared" si="89"/>
        <v>28.290129983256772</v>
      </c>
      <c r="AC126" s="1">
        <f t="shared" si="89"/>
        <v>0.2033255453202387</v>
      </c>
      <c r="AD126" s="1">
        <f t="shared" si="89"/>
        <v>1.8886739277383082</v>
      </c>
      <c r="AE126" s="1">
        <f t="shared" si="89"/>
        <v>2.8928352462023943</v>
      </c>
      <c r="AF126" s="1">
        <f t="shared" si="87"/>
        <v>4.984834719260949</v>
      </c>
      <c r="AG126" s="26">
        <f t="shared" si="88"/>
        <v>0.42398074211770764</v>
      </c>
    </row>
    <row r="127" spans="26:33" ht="12.75">
      <c r="Z127" s="9">
        <v>1999</v>
      </c>
      <c r="AA127" s="2">
        <f t="shared" si="89"/>
        <v>66.28543804505253</v>
      </c>
      <c r="AB127" s="2">
        <f t="shared" si="89"/>
        <v>28.445900485860733</v>
      </c>
      <c r="AC127" s="1">
        <f t="shared" si="89"/>
        <v>0.2037302394379218</v>
      </c>
      <c r="AD127" s="1">
        <f t="shared" si="89"/>
        <v>1.9889345988310583</v>
      </c>
      <c r="AE127" s="1">
        <f t="shared" si="89"/>
        <v>3.075996630817746</v>
      </c>
      <c r="AF127" s="1">
        <f t="shared" si="87"/>
        <v>5.268661469086737</v>
      </c>
      <c r="AG127" s="26">
        <f t="shared" si="88"/>
        <v>0.42914252850719303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showZeros="0" zoomScale="50" zoomScaleNormal="50" workbookViewId="0" topLeftCell="A67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37</v>
      </c>
    </row>
    <row r="2" spans="1:14" ht="28.5" customHeight="1">
      <c r="A2" s="33" t="str">
        <f>CONCATENATE("New Admissions for Violent Offenses, BW Only: ",$A$1)</f>
        <v>New Admissions for Violent Offenses, BW Only: GEORGIA</v>
      </c>
      <c r="B2" s="33"/>
      <c r="C2" s="33"/>
      <c r="D2" s="33"/>
      <c r="F2" s="33" t="str">
        <f>CONCATENATE("Total Population, BW Only: ",$A$1)</f>
        <v>Total Population, BW Only: GEORGIA</v>
      </c>
      <c r="G2" s="33"/>
      <c r="H2" s="33"/>
      <c r="I2" s="33"/>
      <c r="K2" s="33" t="str">
        <f>CONCATENATE("New Admissions for Violent Offenses, BW Only, Per 100,000: ",$A$1)</f>
        <v>New Admissions for Violent Offenses, BW Only, Per 100,000: GEORGIA</v>
      </c>
      <c r="L2" s="33"/>
      <c r="M2" s="33"/>
      <c r="N2" s="33"/>
    </row>
    <row r="3" spans="1:14" ht="12.75">
      <c r="A3" s="24" t="s">
        <v>25</v>
      </c>
      <c r="B3" s="25" t="s">
        <v>11</v>
      </c>
      <c r="C3" s="25" t="s">
        <v>12</v>
      </c>
      <c r="D3" s="25" t="s">
        <v>13</v>
      </c>
      <c r="F3" s="24" t="s">
        <v>25</v>
      </c>
      <c r="G3" s="25" t="s">
        <v>11</v>
      </c>
      <c r="H3" s="25" t="s">
        <v>12</v>
      </c>
      <c r="I3" s="25" t="s">
        <v>13</v>
      </c>
      <c r="K3" s="24" t="s">
        <v>25</v>
      </c>
      <c r="L3" s="25" t="s">
        <v>11</v>
      </c>
      <c r="M3" s="25" t="s">
        <v>12</v>
      </c>
      <c r="N3" s="25" t="s">
        <v>13</v>
      </c>
    </row>
    <row r="4" spans="1:19" ht="12.75">
      <c r="A4" s="9">
        <v>1983</v>
      </c>
      <c r="B4">
        <v>494</v>
      </c>
      <c r="C4">
        <v>695</v>
      </c>
      <c r="D4">
        <v>1189</v>
      </c>
      <c r="F4" s="9">
        <v>1983</v>
      </c>
      <c r="G4" s="2">
        <v>2581691</v>
      </c>
      <c r="H4">
        <v>114105</v>
      </c>
      <c r="I4" s="1">
        <f>G4+H4</f>
        <v>2695796</v>
      </c>
      <c r="J4" s="1"/>
      <c r="K4" s="9">
        <f>F4</f>
        <v>1983</v>
      </c>
      <c r="L4" s="1">
        <f>(B4/G4)*100000</f>
        <v>19.13474540524021</v>
      </c>
      <c r="M4" s="1">
        <f aca="true" t="shared" si="0" ref="M4:N19">(C4/H4)*100000</f>
        <v>609.0881205906841</v>
      </c>
      <c r="N4" s="1">
        <f t="shared" si="0"/>
        <v>44.105711263018414</v>
      </c>
      <c r="P4" s="6"/>
      <c r="Q4" s="6"/>
      <c r="R4" s="6"/>
      <c r="S4" s="6"/>
    </row>
    <row r="5" spans="1:19" ht="12.75">
      <c r="A5" s="9">
        <v>1984</v>
      </c>
      <c r="B5">
        <v>499</v>
      </c>
      <c r="C5">
        <v>733</v>
      </c>
      <c r="D5">
        <v>1232</v>
      </c>
      <c r="F5" s="9">
        <v>1984</v>
      </c>
      <c r="G5" s="2">
        <v>2604945</v>
      </c>
      <c r="H5">
        <v>116754</v>
      </c>
      <c r="I5" s="1">
        <f aca="true" t="shared" si="1" ref="I5:I20">G5+H5</f>
        <v>2721699</v>
      </c>
      <c r="K5" s="9">
        <f aca="true" t="shared" si="2" ref="K5:K20">F5</f>
        <v>1984</v>
      </c>
      <c r="L5" s="1">
        <f aca="true" t="shared" si="3" ref="L5:L20">(B5/G5)*100000</f>
        <v>19.155874692172006</v>
      </c>
      <c r="M5" s="1">
        <f t="shared" si="0"/>
        <v>627.8157493533413</v>
      </c>
      <c r="N5" s="1">
        <f t="shared" si="0"/>
        <v>45.26584313695232</v>
      </c>
      <c r="P5" s="6"/>
      <c r="Q5" s="6"/>
      <c r="R5" s="6"/>
      <c r="S5" s="6"/>
    </row>
    <row r="6" spans="1:19" ht="12.75">
      <c r="A6" s="9">
        <v>1985</v>
      </c>
      <c r="B6">
        <v>0</v>
      </c>
      <c r="C6">
        <v>0</v>
      </c>
      <c r="D6">
        <v>0</v>
      </c>
      <c r="F6" s="9">
        <v>1985</v>
      </c>
      <c r="G6" s="2">
        <v>2629537</v>
      </c>
      <c r="H6">
        <v>120330</v>
      </c>
      <c r="I6" s="1">
        <f t="shared" si="1"/>
        <v>2749867</v>
      </c>
      <c r="K6" s="9">
        <f t="shared" si="2"/>
        <v>1985</v>
      </c>
      <c r="L6" s="1"/>
      <c r="M6" s="1"/>
      <c r="N6" s="1"/>
      <c r="P6" s="6"/>
      <c r="Q6" s="6"/>
      <c r="R6" s="6"/>
      <c r="S6" s="6"/>
    </row>
    <row r="7" spans="1:19" ht="12.75">
      <c r="A7" s="9">
        <v>1986</v>
      </c>
      <c r="B7">
        <v>0</v>
      </c>
      <c r="C7">
        <v>0</v>
      </c>
      <c r="D7">
        <v>0</v>
      </c>
      <c r="F7" s="9">
        <v>1986</v>
      </c>
      <c r="G7" s="2">
        <v>2646030</v>
      </c>
      <c r="H7">
        <v>122893</v>
      </c>
      <c r="I7" s="1">
        <f t="shared" si="1"/>
        <v>2768923</v>
      </c>
      <c r="K7" s="9">
        <f t="shared" si="2"/>
        <v>1986</v>
      </c>
      <c r="L7" s="1"/>
      <c r="M7" s="1"/>
      <c r="N7" s="1"/>
      <c r="P7" s="6"/>
      <c r="Q7" s="6"/>
      <c r="R7" s="6"/>
      <c r="S7" s="6"/>
    </row>
    <row r="8" spans="1:19" ht="12.75">
      <c r="A8" s="9">
        <v>1987</v>
      </c>
      <c r="B8">
        <v>128</v>
      </c>
      <c r="C8">
        <v>250</v>
      </c>
      <c r="D8">
        <v>378</v>
      </c>
      <c r="F8" s="9">
        <v>1987</v>
      </c>
      <c r="G8" s="2">
        <v>2656720</v>
      </c>
      <c r="H8">
        <v>125103</v>
      </c>
      <c r="I8" s="1">
        <f t="shared" si="1"/>
        <v>2781823</v>
      </c>
      <c r="K8" s="9">
        <f t="shared" si="2"/>
        <v>1987</v>
      </c>
      <c r="L8" s="1">
        <f t="shared" si="3"/>
        <v>4.81797103194917</v>
      </c>
      <c r="M8" s="1">
        <f t="shared" si="0"/>
        <v>199.83533568339686</v>
      </c>
      <c r="N8" s="1">
        <f t="shared" si="0"/>
        <v>13.588211758979634</v>
      </c>
      <c r="P8" s="6"/>
      <c r="Q8" s="6"/>
      <c r="R8" s="6"/>
      <c r="S8" s="6"/>
    </row>
    <row r="9" spans="1:19" ht="12.75">
      <c r="A9" s="9">
        <v>1988</v>
      </c>
      <c r="B9">
        <v>789</v>
      </c>
      <c r="C9">
        <v>1291</v>
      </c>
      <c r="D9">
        <v>2080</v>
      </c>
      <c r="F9" s="9">
        <v>1988</v>
      </c>
      <c r="G9" s="2">
        <v>2650229</v>
      </c>
      <c r="H9">
        <v>125790</v>
      </c>
      <c r="I9" s="1">
        <f t="shared" si="1"/>
        <v>2776019</v>
      </c>
      <c r="K9" s="9">
        <f t="shared" si="2"/>
        <v>1988</v>
      </c>
      <c r="L9" s="1">
        <f t="shared" si="3"/>
        <v>29.771012240829002</v>
      </c>
      <c r="M9" s="1">
        <f t="shared" si="0"/>
        <v>1026.3136974322283</v>
      </c>
      <c r="N9" s="1">
        <f t="shared" si="0"/>
        <v>74.92744105858065</v>
      </c>
      <c r="P9" s="6"/>
      <c r="Q9" s="6"/>
      <c r="R9" s="6"/>
      <c r="S9" s="6"/>
    </row>
    <row r="10" spans="1:19" ht="12.75">
      <c r="A10" s="9">
        <v>1989</v>
      </c>
      <c r="B10">
        <v>717</v>
      </c>
      <c r="C10">
        <v>1012</v>
      </c>
      <c r="D10">
        <v>1729</v>
      </c>
      <c r="F10" s="9">
        <v>1989</v>
      </c>
      <c r="G10" s="2">
        <v>2653612</v>
      </c>
      <c r="H10">
        <v>127183</v>
      </c>
      <c r="I10" s="1">
        <f t="shared" si="1"/>
        <v>2780795</v>
      </c>
      <c r="K10" s="9">
        <f t="shared" si="2"/>
        <v>1989</v>
      </c>
      <c r="L10" s="1">
        <f t="shared" si="3"/>
        <v>27.01977531003025</v>
      </c>
      <c r="M10" s="1">
        <f t="shared" si="0"/>
        <v>795.7038283418382</v>
      </c>
      <c r="N10" s="1">
        <f t="shared" si="0"/>
        <v>62.176463924884786</v>
      </c>
      <c r="P10" s="6"/>
      <c r="Q10" s="6"/>
      <c r="R10" s="6"/>
      <c r="S10" s="6"/>
    </row>
    <row r="11" spans="1:19" ht="12.75">
      <c r="A11" s="9">
        <v>1990</v>
      </c>
      <c r="B11">
        <v>708</v>
      </c>
      <c r="C11">
        <v>1022</v>
      </c>
      <c r="D11">
        <v>1730</v>
      </c>
      <c r="F11" s="9">
        <v>1990</v>
      </c>
      <c r="G11" s="2">
        <v>2666442</v>
      </c>
      <c r="H11">
        <v>129089</v>
      </c>
      <c r="I11" s="1">
        <f t="shared" si="1"/>
        <v>2795531</v>
      </c>
      <c r="K11" s="9">
        <f t="shared" si="2"/>
        <v>1990</v>
      </c>
      <c r="L11" s="1">
        <f t="shared" si="3"/>
        <v>26.55223702596944</v>
      </c>
      <c r="M11" s="1">
        <f t="shared" si="0"/>
        <v>791.7018491118531</v>
      </c>
      <c r="N11" s="1">
        <f t="shared" si="0"/>
        <v>61.88448634624334</v>
      </c>
      <c r="P11" s="6"/>
      <c r="Q11" s="6"/>
      <c r="R11" s="6"/>
      <c r="S11" s="6"/>
    </row>
    <row r="12" spans="1:19" ht="12.75">
      <c r="A12" s="9">
        <v>1991</v>
      </c>
      <c r="B12">
        <v>613</v>
      </c>
      <c r="C12">
        <v>1002</v>
      </c>
      <c r="D12">
        <v>1615</v>
      </c>
      <c r="F12" s="9">
        <v>1991</v>
      </c>
      <c r="G12" s="2">
        <v>2711730</v>
      </c>
      <c r="H12">
        <v>132939</v>
      </c>
      <c r="I12" s="1">
        <f t="shared" si="1"/>
        <v>2844669</v>
      </c>
      <c r="K12" s="9">
        <f t="shared" si="2"/>
        <v>1991</v>
      </c>
      <c r="L12" s="1">
        <f t="shared" si="3"/>
        <v>22.605495384865012</v>
      </c>
      <c r="M12" s="1">
        <f t="shared" si="0"/>
        <v>753.7291539728748</v>
      </c>
      <c r="N12" s="1">
        <f t="shared" si="0"/>
        <v>56.77286179868378</v>
      </c>
      <c r="P12" s="6"/>
      <c r="Q12" s="6"/>
      <c r="R12" s="6"/>
      <c r="S12" s="6"/>
    </row>
    <row r="13" spans="1:19" ht="12.75">
      <c r="A13" s="9">
        <v>1992</v>
      </c>
      <c r="B13">
        <v>676</v>
      </c>
      <c r="C13">
        <v>1036</v>
      </c>
      <c r="D13">
        <v>1712</v>
      </c>
      <c r="F13" s="9">
        <v>1992</v>
      </c>
      <c r="G13" s="2">
        <v>2779309</v>
      </c>
      <c r="H13">
        <v>136991</v>
      </c>
      <c r="I13" s="1">
        <f t="shared" si="1"/>
        <v>2916300</v>
      </c>
      <c r="K13" s="9">
        <f t="shared" si="2"/>
        <v>1992</v>
      </c>
      <c r="L13" s="1">
        <f t="shared" si="3"/>
        <v>24.32259241415762</v>
      </c>
      <c r="M13" s="1">
        <f t="shared" si="0"/>
        <v>756.2540604857253</v>
      </c>
      <c r="N13" s="1">
        <f t="shared" si="0"/>
        <v>58.704522854301686</v>
      </c>
      <c r="P13" s="6"/>
      <c r="Q13" s="6"/>
      <c r="R13" s="6"/>
      <c r="S13" s="6"/>
    </row>
    <row r="14" spans="1:19" ht="12.75">
      <c r="A14" s="9">
        <v>1993</v>
      </c>
      <c r="B14">
        <v>642</v>
      </c>
      <c r="C14">
        <v>1020</v>
      </c>
      <c r="D14">
        <v>1662</v>
      </c>
      <c r="F14" s="9">
        <v>1993</v>
      </c>
      <c r="G14" s="2">
        <v>2851608</v>
      </c>
      <c r="H14" s="2">
        <v>141047</v>
      </c>
      <c r="I14" s="1">
        <f t="shared" si="1"/>
        <v>2992655</v>
      </c>
      <c r="K14" s="9">
        <f t="shared" si="2"/>
        <v>1993</v>
      </c>
      <c r="L14" s="1">
        <f t="shared" si="3"/>
        <v>22.513613371823897</v>
      </c>
      <c r="M14" s="1">
        <f t="shared" si="0"/>
        <v>723.1632009188427</v>
      </c>
      <c r="N14" s="1">
        <f t="shared" si="0"/>
        <v>55.5359705679405</v>
      </c>
      <c r="P14" s="6"/>
      <c r="Q14" s="6"/>
      <c r="R14" s="6"/>
      <c r="S14" s="6"/>
    </row>
    <row r="15" spans="1:19" ht="12.75">
      <c r="A15" s="9">
        <v>1994</v>
      </c>
      <c r="B15">
        <v>673</v>
      </c>
      <c r="C15">
        <v>991</v>
      </c>
      <c r="D15">
        <v>1664</v>
      </c>
      <c r="F15" s="9">
        <v>1994</v>
      </c>
      <c r="G15" s="2">
        <v>2919546</v>
      </c>
      <c r="H15" s="2">
        <v>144157</v>
      </c>
      <c r="I15" s="1">
        <f t="shared" si="1"/>
        <v>3063703</v>
      </c>
      <c r="K15" s="9">
        <f t="shared" si="2"/>
        <v>1994</v>
      </c>
      <c r="L15" s="1">
        <f t="shared" si="3"/>
        <v>23.05152924461543</v>
      </c>
      <c r="M15" s="1">
        <f t="shared" si="0"/>
        <v>687.4449385045472</v>
      </c>
      <c r="N15" s="1">
        <f t="shared" si="0"/>
        <v>54.313358703503575</v>
      </c>
      <c r="P15" s="6"/>
      <c r="Q15" s="6"/>
      <c r="R15" s="6"/>
      <c r="S15" s="6"/>
    </row>
    <row r="16" spans="1:19" ht="12.75">
      <c r="A16" s="9">
        <v>1995</v>
      </c>
      <c r="B16">
        <v>645</v>
      </c>
      <c r="C16">
        <v>1047</v>
      </c>
      <c r="D16">
        <v>1692</v>
      </c>
      <c r="F16" s="9">
        <v>1995</v>
      </c>
      <c r="G16" s="2">
        <v>2977692</v>
      </c>
      <c r="H16" s="2">
        <v>146048</v>
      </c>
      <c r="I16" s="1">
        <f t="shared" si="1"/>
        <v>3123740</v>
      </c>
      <c r="K16" s="9">
        <f t="shared" si="2"/>
        <v>1995</v>
      </c>
      <c r="L16" s="1">
        <f t="shared" si="3"/>
        <v>21.661071729379668</v>
      </c>
      <c r="M16" s="1">
        <f t="shared" si="0"/>
        <v>716.8875985977213</v>
      </c>
      <c r="N16" s="1">
        <f t="shared" si="0"/>
        <v>54.16583966655356</v>
      </c>
      <c r="P16" s="6"/>
      <c r="Q16" s="6"/>
      <c r="R16" s="6"/>
      <c r="S16" s="6"/>
    </row>
    <row r="17" spans="1:19" ht="12.75">
      <c r="A17" s="9">
        <v>1996</v>
      </c>
      <c r="B17">
        <v>544</v>
      </c>
      <c r="C17">
        <v>893</v>
      </c>
      <c r="D17">
        <v>1437</v>
      </c>
      <c r="F17" s="9">
        <v>1996</v>
      </c>
      <c r="G17" s="2">
        <v>3026511</v>
      </c>
      <c r="H17" s="2">
        <v>148233</v>
      </c>
      <c r="I17" s="1">
        <f t="shared" si="1"/>
        <v>3174744</v>
      </c>
      <c r="K17" s="9">
        <f t="shared" si="2"/>
        <v>1996</v>
      </c>
      <c r="L17" s="1">
        <f t="shared" si="3"/>
        <v>17.97449274098128</v>
      </c>
      <c r="M17" s="1">
        <f t="shared" si="0"/>
        <v>602.4299582414172</v>
      </c>
      <c r="N17" s="1">
        <f t="shared" si="0"/>
        <v>45.26349211148994</v>
      </c>
      <c r="P17" s="6"/>
      <c r="Q17" s="6"/>
      <c r="R17" s="6"/>
      <c r="S17" s="6"/>
    </row>
    <row r="18" spans="1:19" ht="12.75">
      <c r="A18" s="9">
        <v>1997</v>
      </c>
      <c r="B18">
        <v>0</v>
      </c>
      <c r="C18">
        <v>0</v>
      </c>
      <c r="D18">
        <v>0</v>
      </c>
      <c r="F18" s="9">
        <v>1997</v>
      </c>
      <c r="G18" s="2">
        <v>3075558</v>
      </c>
      <c r="H18" s="2">
        <v>150906</v>
      </c>
      <c r="I18" s="1">
        <f t="shared" si="1"/>
        <v>3226464</v>
      </c>
      <c r="K18" s="9">
        <f t="shared" si="2"/>
        <v>1997</v>
      </c>
      <c r="L18" s="1"/>
      <c r="M18" s="1"/>
      <c r="N18" s="1"/>
      <c r="P18" s="6"/>
      <c r="Q18" s="6"/>
      <c r="R18" s="6"/>
      <c r="S18" s="6"/>
    </row>
    <row r="19" spans="1:19" ht="12.75">
      <c r="A19" s="9">
        <v>1998</v>
      </c>
      <c r="B19">
        <v>570</v>
      </c>
      <c r="C19">
        <v>816</v>
      </c>
      <c r="D19">
        <v>1386</v>
      </c>
      <c r="F19" s="9">
        <v>1998</v>
      </c>
      <c r="G19" s="2">
        <v>3122879</v>
      </c>
      <c r="H19" s="2">
        <v>154615</v>
      </c>
      <c r="I19" s="1">
        <f t="shared" si="1"/>
        <v>3277494</v>
      </c>
      <c r="K19" s="9">
        <f t="shared" si="2"/>
        <v>1998</v>
      </c>
      <c r="L19" s="1">
        <f t="shared" si="3"/>
        <v>18.25238826096048</v>
      </c>
      <c r="M19" s="1">
        <f t="shared" si="0"/>
        <v>527.7625068719077</v>
      </c>
      <c r="N19" s="1">
        <f t="shared" si="0"/>
        <v>42.28840693529874</v>
      </c>
      <c r="P19" s="6"/>
      <c r="Q19" s="6"/>
      <c r="R19" s="6"/>
      <c r="S19" s="6"/>
    </row>
    <row r="20" spans="1:14" ht="12.75">
      <c r="A20" s="9">
        <v>1999</v>
      </c>
      <c r="B20">
        <v>726</v>
      </c>
      <c r="C20">
        <v>1041</v>
      </c>
      <c r="D20">
        <v>1767</v>
      </c>
      <c r="F20" s="9">
        <v>1999</v>
      </c>
      <c r="G20" s="2">
        <v>3177332</v>
      </c>
      <c r="H20" s="2">
        <v>157578</v>
      </c>
      <c r="I20" s="1">
        <f t="shared" si="1"/>
        <v>3334910</v>
      </c>
      <c r="K20" s="9">
        <f t="shared" si="2"/>
        <v>1999</v>
      </c>
      <c r="L20" s="1">
        <f t="shared" si="3"/>
        <v>22.84935914786368</v>
      </c>
      <c r="M20" s="1">
        <f>(C20/H20)*100000</f>
        <v>660.6252141796443</v>
      </c>
      <c r="N20" s="1">
        <f>(D20/I20)*100000</f>
        <v>52.98493812426722</v>
      </c>
    </row>
    <row r="21" spans="7:8" ht="12.75">
      <c r="G21" s="4"/>
      <c r="H21" s="4"/>
    </row>
    <row r="22" spans="1:14" ht="30" customHeight="1">
      <c r="A22" s="33" t="str">
        <f>CONCATENATE("New Admissions for Robbery / Burglary Offenses, BW Only: ",$A$1)</f>
        <v>New Admissions for Robbery / Burglary Offenses, BW Only: GEORGIA</v>
      </c>
      <c r="B22" s="33"/>
      <c r="C22" s="33"/>
      <c r="D22" s="33"/>
      <c r="F22" s="33" t="str">
        <f>CONCATENATE("Total Population, BW Only: ",$A$1)</f>
        <v>Total Population, BW Only: GEORGIA</v>
      </c>
      <c r="G22" s="33"/>
      <c r="H22" s="33"/>
      <c r="I22" s="33"/>
      <c r="K22" s="33" t="str">
        <f>CONCATENATE("New Admissions for Robbery / Burglary, BW Only, Per 100,000: ",$A$1)</f>
        <v>New Admissions for Robbery / Burglary, BW Only, Per 100,000: GEORGIA</v>
      </c>
      <c r="L22" s="33"/>
      <c r="M22" s="33"/>
      <c r="N22" s="33"/>
    </row>
    <row r="23" spans="1:14" ht="12.75">
      <c r="A23" s="24" t="s">
        <v>25</v>
      </c>
      <c r="B23" s="25" t="s">
        <v>11</v>
      </c>
      <c r="C23" s="25" t="s">
        <v>12</v>
      </c>
      <c r="D23" s="25" t="s">
        <v>13</v>
      </c>
      <c r="F23" s="24" t="s">
        <v>25</v>
      </c>
      <c r="G23" s="25" t="s">
        <v>11</v>
      </c>
      <c r="H23" s="25" t="s">
        <v>12</v>
      </c>
      <c r="I23" s="25" t="s">
        <v>13</v>
      </c>
      <c r="K23" s="24" t="s">
        <v>25</v>
      </c>
      <c r="L23" s="25" t="s">
        <v>11</v>
      </c>
      <c r="M23" s="25" t="s">
        <v>12</v>
      </c>
      <c r="N23" s="25" t="s">
        <v>13</v>
      </c>
    </row>
    <row r="24" spans="1:14" ht="12.75">
      <c r="A24" s="9">
        <v>1983</v>
      </c>
      <c r="B24">
        <v>982</v>
      </c>
      <c r="C24">
        <v>1539</v>
      </c>
      <c r="D24">
        <v>2521</v>
      </c>
      <c r="F24" s="9">
        <f>F4</f>
        <v>1983</v>
      </c>
      <c r="G24" s="1">
        <f>G4</f>
        <v>2581691</v>
      </c>
      <c r="H24" s="1">
        <f>H4</f>
        <v>114105</v>
      </c>
      <c r="I24" s="1">
        <f>I4</f>
        <v>2695796</v>
      </c>
      <c r="K24" s="9">
        <f>F24</f>
        <v>1983</v>
      </c>
      <c r="L24" s="1">
        <f>(B24/G24)*100000</f>
        <v>38.03708499584187</v>
      </c>
      <c r="M24" s="1">
        <f aca="true" t="shared" si="4" ref="M24:M40">(C24/H24)*100000</f>
        <v>1348.7577231497305</v>
      </c>
      <c r="N24" s="1">
        <f aca="true" t="shared" si="5" ref="N24:N40">(D24/I24)*100000</f>
        <v>93.5159782120012</v>
      </c>
    </row>
    <row r="25" spans="1:14" ht="12.75">
      <c r="A25" s="9">
        <v>1984</v>
      </c>
      <c r="B25">
        <v>792</v>
      </c>
      <c r="C25">
        <v>1267</v>
      </c>
      <c r="D25">
        <v>2059</v>
      </c>
      <c r="F25" s="9">
        <f aca="true" t="shared" si="6" ref="F25:F40">F5</f>
        <v>1984</v>
      </c>
      <c r="G25" s="1">
        <f aca="true" t="shared" si="7" ref="G25:I40">G5</f>
        <v>2604945</v>
      </c>
      <c r="H25" s="1">
        <f t="shared" si="7"/>
        <v>116754</v>
      </c>
      <c r="I25" s="1">
        <f t="shared" si="7"/>
        <v>2721699</v>
      </c>
      <c r="K25" s="9">
        <f aca="true" t="shared" si="8" ref="K25:K40">F25</f>
        <v>1984</v>
      </c>
      <c r="L25" s="1">
        <f aca="true" t="shared" si="9" ref="L25:L40">(B25/G25)*100000</f>
        <v>30.403712938277007</v>
      </c>
      <c r="M25" s="1">
        <f t="shared" si="4"/>
        <v>1085.1876595234423</v>
      </c>
      <c r="N25" s="1">
        <f t="shared" si="5"/>
        <v>75.65127517774742</v>
      </c>
    </row>
    <row r="26" spans="1:14" ht="12.75">
      <c r="A26" s="9">
        <v>1985</v>
      </c>
      <c r="B26">
        <v>0</v>
      </c>
      <c r="C26">
        <v>0</v>
      </c>
      <c r="D26">
        <v>0</v>
      </c>
      <c r="F26" s="9">
        <f t="shared" si="6"/>
        <v>1985</v>
      </c>
      <c r="G26" s="1">
        <f t="shared" si="7"/>
        <v>2629537</v>
      </c>
      <c r="H26" s="1">
        <f t="shared" si="7"/>
        <v>120330</v>
      </c>
      <c r="I26" s="1">
        <f t="shared" si="7"/>
        <v>2749867</v>
      </c>
      <c r="K26" s="9">
        <f t="shared" si="8"/>
        <v>1985</v>
      </c>
      <c r="L26" s="1"/>
      <c r="M26" s="1"/>
      <c r="N26" s="1"/>
    </row>
    <row r="27" spans="1:14" ht="12.75">
      <c r="A27" s="9">
        <v>1986</v>
      </c>
      <c r="B27">
        <v>0</v>
      </c>
      <c r="C27">
        <v>0</v>
      </c>
      <c r="D27">
        <v>0</v>
      </c>
      <c r="F27" s="9">
        <f t="shared" si="6"/>
        <v>1986</v>
      </c>
      <c r="G27" s="1">
        <f t="shared" si="7"/>
        <v>2646030</v>
      </c>
      <c r="H27" s="1">
        <f t="shared" si="7"/>
        <v>122893</v>
      </c>
      <c r="I27" s="1">
        <f t="shared" si="7"/>
        <v>2768923</v>
      </c>
      <c r="K27" s="9">
        <f t="shared" si="8"/>
        <v>1986</v>
      </c>
      <c r="L27" s="1"/>
      <c r="M27" s="1"/>
      <c r="N27" s="1"/>
    </row>
    <row r="28" spans="1:14" ht="12.75">
      <c r="A28" s="9">
        <v>1987</v>
      </c>
      <c r="B28">
        <v>0</v>
      </c>
      <c r="C28">
        <v>0</v>
      </c>
      <c r="D28">
        <v>0</v>
      </c>
      <c r="F28" s="9">
        <f t="shared" si="6"/>
        <v>1987</v>
      </c>
      <c r="G28" s="1">
        <f t="shared" si="7"/>
        <v>2656720</v>
      </c>
      <c r="H28" s="1">
        <f t="shared" si="7"/>
        <v>125103</v>
      </c>
      <c r="I28" s="1">
        <f t="shared" si="7"/>
        <v>2781823</v>
      </c>
      <c r="K28" s="9">
        <f t="shared" si="8"/>
        <v>1987</v>
      </c>
      <c r="L28" s="1"/>
      <c r="M28" s="1"/>
      <c r="N28" s="1"/>
    </row>
    <row r="29" spans="1:14" ht="12.75">
      <c r="A29" s="9">
        <v>1988</v>
      </c>
      <c r="B29">
        <v>1213</v>
      </c>
      <c r="C29">
        <v>2247</v>
      </c>
      <c r="D29">
        <v>3460</v>
      </c>
      <c r="F29" s="9">
        <f t="shared" si="6"/>
        <v>1988</v>
      </c>
      <c r="G29" s="1">
        <f t="shared" si="7"/>
        <v>2650229</v>
      </c>
      <c r="H29" s="1">
        <f t="shared" si="7"/>
        <v>125790</v>
      </c>
      <c r="I29" s="1">
        <f t="shared" si="7"/>
        <v>2776019</v>
      </c>
      <c r="K29" s="9">
        <f t="shared" si="8"/>
        <v>1988</v>
      </c>
      <c r="L29" s="1">
        <f t="shared" si="9"/>
        <v>45.769629718790334</v>
      </c>
      <c r="M29" s="1">
        <f t="shared" si="4"/>
        <v>1786.3105175292153</v>
      </c>
      <c r="N29" s="1">
        <f t="shared" si="5"/>
        <v>124.63891637629283</v>
      </c>
    </row>
    <row r="30" spans="1:14" ht="12.75">
      <c r="A30" s="9">
        <v>1989</v>
      </c>
      <c r="B30">
        <v>747</v>
      </c>
      <c r="C30">
        <v>1689</v>
      </c>
      <c r="D30">
        <v>2436</v>
      </c>
      <c r="F30" s="9">
        <f t="shared" si="6"/>
        <v>1989</v>
      </c>
      <c r="G30" s="1">
        <f t="shared" si="7"/>
        <v>2653612</v>
      </c>
      <c r="H30" s="1">
        <f t="shared" si="7"/>
        <v>127183</v>
      </c>
      <c r="I30" s="1">
        <f t="shared" si="7"/>
        <v>2780795</v>
      </c>
      <c r="K30" s="9">
        <f t="shared" si="8"/>
        <v>1989</v>
      </c>
      <c r="L30" s="1">
        <f t="shared" si="9"/>
        <v>28.150309841830683</v>
      </c>
      <c r="M30" s="1">
        <f t="shared" si="4"/>
        <v>1328.0076739815856</v>
      </c>
      <c r="N30" s="1">
        <f t="shared" si="5"/>
        <v>87.60084795894699</v>
      </c>
    </row>
    <row r="31" spans="1:14" ht="12.75">
      <c r="A31" s="9">
        <v>1990</v>
      </c>
      <c r="B31">
        <v>749</v>
      </c>
      <c r="C31">
        <v>1569</v>
      </c>
      <c r="D31">
        <v>2318</v>
      </c>
      <c r="F31" s="9">
        <f t="shared" si="6"/>
        <v>1990</v>
      </c>
      <c r="G31" s="1">
        <f t="shared" si="7"/>
        <v>2666442</v>
      </c>
      <c r="H31" s="1">
        <f t="shared" si="7"/>
        <v>129089</v>
      </c>
      <c r="I31" s="1">
        <f t="shared" si="7"/>
        <v>2795531</v>
      </c>
      <c r="K31" s="9">
        <f t="shared" si="8"/>
        <v>1990</v>
      </c>
      <c r="L31" s="1">
        <f t="shared" si="9"/>
        <v>28.089866571258625</v>
      </c>
      <c r="M31" s="1">
        <f t="shared" si="4"/>
        <v>1215.440510035712</v>
      </c>
      <c r="N31" s="1">
        <f t="shared" si="5"/>
        <v>82.9180574280879</v>
      </c>
    </row>
    <row r="32" spans="1:14" ht="12.75">
      <c r="A32" s="9">
        <v>1991</v>
      </c>
      <c r="B32">
        <v>578</v>
      </c>
      <c r="C32">
        <v>1322</v>
      </c>
      <c r="D32">
        <v>1900</v>
      </c>
      <c r="F32" s="9">
        <f t="shared" si="6"/>
        <v>1991</v>
      </c>
      <c r="G32" s="1">
        <f t="shared" si="7"/>
        <v>2711730</v>
      </c>
      <c r="H32" s="1">
        <f t="shared" si="7"/>
        <v>132939</v>
      </c>
      <c r="I32" s="1">
        <f t="shared" si="7"/>
        <v>2844669</v>
      </c>
      <c r="K32" s="9">
        <f t="shared" si="8"/>
        <v>1991</v>
      </c>
      <c r="L32" s="1">
        <f t="shared" si="9"/>
        <v>21.314806415092946</v>
      </c>
      <c r="M32" s="1">
        <f t="shared" si="4"/>
        <v>994.4410594332738</v>
      </c>
      <c r="N32" s="1">
        <f t="shared" si="5"/>
        <v>66.79160211609857</v>
      </c>
    </row>
    <row r="33" spans="1:14" ht="12.75">
      <c r="A33" s="9">
        <v>1992</v>
      </c>
      <c r="B33">
        <v>603</v>
      </c>
      <c r="C33">
        <v>1246</v>
      </c>
      <c r="D33">
        <v>1849</v>
      </c>
      <c r="F33" s="9">
        <f t="shared" si="6"/>
        <v>1992</v>
      </c>
      <c r="G33" s="1">
        <f t="shared" si="7"/>
        <v>2779309</v>
      </c>
      <c r="H33" s="1">
        <f t="shared" si="7"/>
        <v>136991</v>
      </c>
      <c r="I33" s="1">
        <f t="shared" si="7"/>
        <v>2916300</v>
      </c>
      <c r="K33" s="9">
        <f t="shared" si="8"/>
        <v>1992</v>
      </c>
      <c r="L33" s="1">
        <f t="shared" si="9"/>
        <v>21.696040274758943</v>
      </c>
      <c r="M33" s="1">
        <f t="shared" si="4"/>
        <v>909.5488024760751</v>
      </c>
      <c r="N33" s="1">
        <f t="shared" si="5"/>
        <v>63.402256283647084</v>
      </c>
    </row>
    <row r="34" spans="1:14" ht="12.75">
      <c r="A34" s="9">
        <v>1993</v>
      </c>
      <c r="B34">
        <v>500</v>
      </c>
      <c r="C34">
        <v>1312</v>
      </c>
      <c r="D34">
        <v>1812</v>
      </c>
      <c r="F34" s="9">
        <f t="shared" si="6"/>
        <v>1993</v>
      </c>
      <c r="G34" s="1">
        <f t="shared" si="7"/>
        <v>2851608</v>
      </c>
      <c r="H34" s="1">
        <f t="shared" si="7"/>
        <v>141047</v>
      </c>
      <c r="I34" s="1">
        <f t="shared" si="7"/>
        <v>2992655</v>
      </c>
      <c r="K34" s="9">
        <f t="shared" si="8"/>
        <v>1993</v>
      </c>
      <c r="L34" s="1">
        <f t="shared" si="9"/>
        <v>17.533966800485903</v>
      </c>
      <c r="M34" s="1">
        <f t="shared" si="4"/>
        <v>930.1863917701191</v>
      </c>
      <c r="N34" s="1">
        <f t="shared" si="5"/>
        <v>60.5482422798485</v>
      </c>
    </row>
    <row r="35" spans="1:14" ht="12.75">
      <c r="A35" s="9">
        <v>1994</v>
      </c>
      <c r="B35">
        <v>548</v>
      </c>
      <c r="C35">
        <v>1215</v>
      </c>
      <c r="D35">
        <v>1763</v>
      </c>
      <c r="F35" s="9">
        <f t="shared" si="6"/>
        <v>1994</v>
      </c>
      <c r="G35" s="1">
        <f t="shared" si="7"/>
        <v>2919546</v>
      </c>
      <c r="H35" s="1">
        <f t="shared" si="7"/>
        <v>144157</v>
      </c>
      <c r="I35" s="1">
        <f t="shared" si="7"/>
        <v>3063703</v>
      </c>
      <c r="K35" s="9">
        <f t="shared" si="8"/>
        <v>1994</v>
      </c>
      <c r="L35" s="1">
        <f t="shared" si="9"/>
        <v>18.770041643461003</v>
      </c>
      <c r="M35" s="1">
        <f t="shared" si="4"/>
        <v>842.8310800030522</v>
      </c>
      <c r="N35" s="1">
        <f t="shared" si="5"/>
        <v>57.5447424244452</v>
      </c>
    </row>
    <row r="36" spans="1:14" ht="12.75">
      <c r="A36" s="9">
        <v>1995</v>
      </c>
      <c r="B36">
        <v>507</v>
      </c>
      <c r="C36">
        <v>1181</v>
      </c>
      <c r="D36">
        <v>1688</v>
      </c>
      <c r="F36" s="9">
        <f t="shared" si="6"/>
        <v>1995</v>
      </c>
      <c r="G36" s="1">
        <f t="shared" si="7"/>
        <v>2977692</v>
      </c>
      <c r="H36" s="1">
        <f t="shared" si="7"/>
        <v>146048</v>
      </c>
      <c r="I36" s="1">
        <f t="shared" si="7"/>
        <v>3123740</v>
      </c>
      <c r="K36" s="9">
        <f t="shared" si="8"/>
        <v>1995</v>
      </c>
      <c r="L36" s="1">
        <f t="shared" si="9"/>
        <v>17.026609871000762</v>
      </c>
      <c r="M36" s="1">
        <f t="shared" si="4"/>
        <v>808.6382559158632</v>
      </c>
      <c r="N36" s="1">
        <f t="shared" si="5"/>
        <v>54.03778803613617</v>
      </c>
    </row>
    <row r="37" spans="1:14" ht="12.75">
      <c r="A37" s="9">
        <v>1996</v>
      </c>
      <c r="B37">
        <v>465</v>
      </c>
      <c r="C37">
        <v>845</v>
      </c>
      <c r="D37">
        <v>1310</v>
      </c>
      <c r="F37" s="9">
        <f t="shared" si="6"/>
        <v>1996</v>
      </c>
      <c r="G37" s="1">
        <f t="shared" si="7"/>
        <v>3026511</v>
      </c>
      <c r="H37" s="1">
        <f t="shared" si="7"/>
        <v>148233</v>
      </c>
      <c r="I37" s="1">
        <f t="shared" si="7"/>
        <v>3174744</v>
      </c>
      <c r="K37" s="9">
        <f t="shared" si="8"/>
        <v>1996</v>
      </c>
      <c r="L37" s="1">
        <f t="shared" si="9"/>
        <v>15.364226331904957</v>
      </c>
      <c r="M37" s="1">
        <f t="shared" si="4"/>
        <v>570.0485047189222</v>
      </c>
      <c r="N37" s="1">
        <f t="shared" si="5"/>
        <v>41.26316956579806</v>
      </c>
    </row>
    <row r="38" spans="1:14" ht="12.75">
      <c r="A38" s="9">
        <v>1997</v>
      </c>
      <c r="B38">
        <v>0</v>
      </c>
      <c r="C38">
        <v>0</v>
      </c>
      <c r="D38">
        <v>0</v>
      </c>
      <c r="F38" s="9">
        <f t="shared" si="6"/>
        <v>1997</v>
      </c>
      <c r="G38" s="1">
        <f t="shared" si="7"/>
        <v>3075558</v>
      </c>
      <c r="H38" s="1">
        <f t="shared" si="7"/>
        <v>150906</v>
      </c>
      <c r="I38" s="1">
        <f t="shared" si="7"/>
        <v>3226464</v>
      </c>
      <c r="K38" s="9">
        <f t="shared" si="8"/>
        <v>1997</v>
      </c>
      <c r="L38" s="1"/>
      <c r="M38" s="1"/>
      <c r="N38" s="1"/>
    </row>
    <row r="39" spans="1:14" ht="12.75">
      <c r="A39" s="9">
        <v>1998</v>
      </c>
      <c r="B39">
        <v>495</v>
      </c>
      <c r="C39">
        <v>786</v>
      </c>
      <c r="D39">
        <v>1281</v>
      </c>
      <c r="F39" s="9">
        <f t="shared" si="6"/>
        <v>1998</v>
      </c>
      <c r="G39" s="1">
        <f t="shared" si="7"/>
        <v>3122879</v>
      </c>
      <c r="H39" s="1">
        <f t="shared" si="7"/>
        <v>154615</v>
      </c>
      <c r="I39" s="1">
        <f t="shared" si="7"/>
        <v>3277494</v>
      </c>
      <c r="K39" s="9">
        <f t="shared" si="8"/>
        <v>1998</v>
      </c>
      <c r="L39" s="1">
        <f t="shared" si="9"/>
        <v>15.850758226623574</v>
      </c>
      <c r="M39" s="1">
        <f t="shared" si="4"/>
        <v>508.3594735310287</v>
      </c>
      <c r="N39" s="1">
        <f t="shared" si="5"/>
        <v>39.08473974323065</v>
      </c>
    </row>
    <row r="40" spans="1:14" ht="12.75">
      <c r="A40" s="9">
        <v>1999</v>
      </c>
      <c r="B40">
        <v>572</v>
      </c>
      <c r="C40">
        <v>1015</v>
      </c>
      <c r="D40">
        <v>1587</v>
      </c>
      <c r="F40" s="9">
        <f t="shared" si="6"/>
        <v>1999</v>
      </c>
      <c r="G40" s="1">
        <f t="shared" si="7"/>
        <v>3177332</v>
      </c>
      <c r="H40" s="1">
        <f t="shared" si="7"/>
        <v>157578</v>
      </c>
      <c r="I40" s="1">
        <f t="shared" si="7"/>
        <v>3334910</v>
      </c>
      <c r="K40" s="9">
        <f t="shared" si="8"/>
        <v>1999</v>
      </c>
      <c r="L40" s="1">
        <f t="shared" si="9"/>
        <v>18.00252538922593</v>
      </c>
      <c r="M40" s="1">
        <f t="shared" si="4"/>
        <v>644.1254489839952</v>
      </c>
      <c r="N40" s="1">
        <f t="shared" si="5"/>
        <v>47.587491116701806</v>
      </c>
    </row>
    <row r="42" spans="1:14" ht="29.25" customHeight="1">
      <c r="A42" s="33" t="str">
        <f>CONCATENATE("New Admissions for Larceny / Theft Offenses, BW Only: ",$A$1)</f>
        <v>New Admissions for Larceny / Theft Offenses, BW Only: GEORGIA</v>
      </c>
      <c r="B42" s="33"/>
      <c r="C42" s="33"/>
      <c r="D42" s="33"/>
      <c r="F42" s="33" t="str">
        <f>CONCATENATE("Total Population, BW Only: ",$A$1)</f>
        <v>Total Population, BW Only: GEORGIA</v>
      </c>
      <c r="G42" s="33"/>
      <c r="H42" s="33"/>
      <c r="I42" s="33"/>
      <c r="K42" s="33" t="str">
        <f>CONCATENATE("New Admissions for Larceny / Theft, BW Only, Per 100,000: ",$A$1)</f>
        <v>New Admissions for Larceny / Theft, BW Only, Per 100,000: GEORGIA</v>
      </c>
      <c r="L42" s="33"/>
      <c r="M42" s="33"/>
      <c r="N42" s="33"/>
    </row>
    <row r="43" spans="1:14" ht="12.75">
      <c r="A43" s="24" t="s">
        <v>25</v>
      </c>
      <c r="B43" s="25" t="s">
        <v>11</v>
      </c>
      <c r="C43" s="25" t="s">
        <v>12</v>
      </c>
      <c r="D43" s="25" t="s">
        <v>13</v>
      </c>
      <c r="F43" s="24" t="s">
        <v>25</v>
      </c>
      <c r="G43" s="25" t="s">
        <v>11</v>
      </c>
      <c r="H43" s="25" t="s">
        <v>12</v>
      </c>
      <c r="I43" s="25" t="s">
        <v>13</v>
      </c>
      <c r="K43" s="24" t="s">
        <v>25</v>
      </c>
      <c r="L43" s="25" t="s">
        <v>11</v>
      </c>
      <c r="M43" s="25" t="s">
        <v>12</v>
      </c>
      <c r="N43" s="25" t="s">
        <v>13</v>
      </c>
    </row>
    <row r="44" spans="1:14" ht="12.75">
      <c r="A44" s="9">
        <v>1983</v>
      </c>
      <c r="B44">
        <v>419</v>
      </c>
      <c r="C44">
        <v>533</v>
      </c>
      <c r="D44">
        <v>952</v>
      </c>
      <c r="F44" s="9">
        <f>F4</f>
        <v>1983</v>
      </c>
      <c r="G44" s="1">
        <f>G4</f>
        <v>2581691</v>
      </c>
      <c r="H44" s="1">
        <f>H4</f>
        <v>114105</v>
      </c>
      <c r="I44" s="1">
        <f>I4</f>
        <v>2695796</v>
      </c>
      <c r="K44" s="9">
        <f>F44</f>
        <v>1983</v>
      </c>
      <c r="L44" s="1">
        <f>(B44/G44)*100000</f>
        <v>16.229672722258396</v>
      </c>
      <c r="M44" s="1">
        <f aca="true" t="shared" si="10" ref="M44:M60">(C44/H44)*100000</f>
        <v>467.1136234170281</v>
      </c>
      <c r="N44" s="1">
        <f aca="true" t="shared" si="11" ref="N44:N60">(D44/I44)*100000</f>
        <v>35.31424484642013</v>
      </c>
    </row>
    <row r="45" spans="1:14" ht="12.75">
      <c r="A45" s="9">
        <v>1984</v>
      </c>
      <c r="B45">
        <v>475</v>
      </c>
      <c r="C45">
        <v>693</v>
      </c>
      <c r="D45">
        <v>1168</v>
      </c>
      <c r="F45" s="9">
        <f aca="true" t="shared" si="12" ref="F45:F60">F5</f>
        <v>1984</v>
      </c>
      <c r="G45" s="1">
        <f aca="true" t="shared" si="13" ref="G45:I60">G5</f>
        <v>2604945</v>
      </c>
      <c r="H45" s="1">
        <f t="shared" si="13"/>
        <v>116754</v>
      </c>
      <c r="I45" s="1">
        <f t="shared" si="13"/>
        <v>2721699</v>
      </c>
      <c r="K45" s="9">
        <f aca="true" t="shared" si="14" ref="K45:K60">F45</f>
        <v>1984</v>
      </c>
      <c r="L45" s="1">
        <f aca="true" t="shared" si="15" ref="L45:L60">(B45/G45)*100000</f>
        <v>18.23455005767876</v>
      </c>
      <c r="M45" s="1">
        <f t="shared" si="10"/>
        <v>593.5556811758056</v>
      </c>
      <c r="N45" s="1">
        <f t="shared" si="11"/>
        <v>42.91437076620155</v>
      </c>
    </row>
    <row r="46" spans="1:14" ht="12.75">
      <c r="A46" s="9">
        <v>1985</v>
      </c>
      <c r="B46">
        <v>0</v>
      </c>
      <c r="C46">
        <v>0</v>
      </c>
      <c r="D46">
        <v>0</v>
      </c>
      <c r="F46" s="9">
        <f t="shared" si="12"/>
        <v>1985</v>
      </c>
      <c r="G46" s="1">
        <f t="shared" si="13"/>
        <v>2629537</v>
      </c>
      <c r="H46" s="1">
        <f t="shared" si="13"/>
        <v>120330</v>
      </c>
      <c r="I46" s="1">
        <f t="shared" si="13"/>
        <v>2749867</v>
      </c>
      <c r="K46" s="9">
        <f t="shared" si="14"/>
        <v>1985</v>
      </c>
      <c r="L46" s="1"/>
      <c r="M46" s="1"/>
      <c r="N46" s="1"/>
    </row>
    <row r="47" spans="1:14" ht="12.75">
      <c r="A47" s="9">
        <v>1986</v>
      </c>
      <c r="B47">
        <v>0</v>
      </c>
      <c r="C47">
        <v>0</v>
      </c>
      <c r="D47">
        <v>0</v>
      </c>
      <c r="F47" s="9">
        <f t="shared" si="12"/>
        <v>1986</v>
      </c>
      <c r="G47" s="1">
        <f t="shared" si="13"/>
        <v>2646030</v>
      </c>
      <c r="H47" s="1">
        <f t="shared" si="13"/>
        <v>122893</v>
      </c>
      <c r="I47" s="1">
        <f t="shared" si="13"/>
        <v>2768923</v>
      </c>
      <c r="K47" s="9">
        <f t="shared" si="14"/>
        <v>1986</v>
      </c>
      <c r="L47" s="1"/>
      <c r="M47" s="1"/>
      <c r="N47" s="1"/>
    </row>
    <row r="48" spans="1:14" ht="12.75">
      <c r="A48" s="9">
        <v>1987</v>
      </c>
      <c r="B48">
        <v>0</v>
      </c>
      <c r="C48">
        <v>0</v>
      </c>
      <c r="D48">
        <v>0</v>
      </c>
      <c r="F48" s="9">
        <f t="shared" si="12"/>
        <v>1987</v>
      </c>
      <c r="G48" s="1">
        <f t="shared" si="13"/>
        <v>2656720</v>
      </c>
      <c r="H48" s="1">
        <f t="shared" si="13"/>
        <v>125103</v>
      </c>
      <c r="I48" s="1">
        <f t="shared" si="13"/>
        <v>2781823</v>
      </c>
      <c r="K48" s="9">
        <f t="shared" si="14"/>
        <v>1987</v>
      </c>
      <c r="L48" s="1"/>
      <c r="M48" s="1"/>
      <c r="N48" s="1"/>
    </row>
    <row r="49" spans="1:14" ht="12.75">
      <c r="A49" s="9">
        <v>1988</v>
      </c>
      <c r="B49">
        <v>588</v>
      </c>
      <c r="C49">
        <v>1008</v>
      </c>
      <c r="D49">
        <v>1596</v>
      </c>
      <c r="F49" s="9">
        <f t="shared" si="12"/>
        <v>1988</v>
      </c>
      <c r="G49" s="1">
        <f t="shared" si="13"/>
        <v>2650229</v>
      </c>
      <c r="H49" s="1">
        <f t="shared" si="13"/>
        <v>125790</v>
      </c>
      <c r="I49" s="1">
        <f t="shared" si="13"/>
        <v>2776019</v>
      </c>
      <c r="K49" s="9">
        <f t="shared" si="14"/>
        <v>1988</v>
      </c>
      <c r="L49" s="1">
        <f t="shared" si="15"/>
        <v>22.18676197415393</v>
      </c>
      <c r="M49" s="1">
        <f t="shared" si="10"/>
        <v>801.3355592654424</v>
      </c>
      <c r="N49" s="1">
        <f t="shared" si="11"/>
        <v>57.49240188918015</v>
      </c>
    </row>
    <row r="50" spans="1:14" ht="12.75">
      <c r="A50" s="9">
        <v>1989</v>
      </c>
      <c r="B50">
        <v>364</v>
      </c>
      <c r="C50">
        <v>557</v>
      </c>
      <c r="D50">
        <v>921</v>
      </c>
      <c r="F50" s="9">
        <f t="shared" si="12"/>
        <v>1989</v>
      </c>
      <c r="G50" s="1">
        <f t="shared" si="13"/>
        <v>2653612</v>
      </c>
      <c r="H50" s="1">
        <f t="shared" si="13"/>
        <v>127183</v>
      </c>
      <c r="I50" s="1">
        <f t="shared" si="13"/>
        <v>2780795</v>
      </c>
      <c r="K50" s="9">
        <f t="shared" si="14"/>
        <v>1989</v>
      </c>
      <c r="L50" s="1">
        <f t="shared" si="15"/>
        <v>13.71715231917854</v>
      </c>
      <c r="M50" s="1">
        <f t="shared" si="10"/>
        <v>437.95161303004335</v>
      </c>
      <c r="N50" s="1">
        <f t="shared" si="11"/>
        <v>33.1200250288137</v>
      </c>
    </row>
    <row r="51" spans="1:14" ht="12.75">
      <c r="A51" s="9">
        <v>1990</v>
      </c>
      <c r="B51">
        <v>400</v>
      </c>
      <c r="C51">
        <v>631</v>
      </c>
      <c r="D51">
        <v>1031</v>
      </c>
      <c r="F51" s="9">
        <f t="shared" si="12"/>
        <v>1990</v>
      </c>
      <c r="G51" s="1">
        <f t="shared" si="13"/>
        <v>2666442</v>
      </c>
      <c r="H51" s="1">
        <f t="shared" si="13"/>
        <v>129089</v>
      </c>
      <c r="I51" s="1">
        <f t="shared" si="13"/>
        <v>2795531</v>
      </c>
      <c r="K51" s="9">
        <f t="shared" si="14"/>
        <v>1990</v>
      </c>
      <c r="L51" s="1">
        <f t="shared" si="15"/>
        <v>15.001263856479909</v>
      </c>
      <c r="M51" s="1">
        <f t="shared" si="10"/>
        <v>488.81004578236724</v>
      </c>
      <c r="N51" s="1">
        <f t="shared" si="11"/>
        <v>36.880292152009766</v>
      </c>
    </row>
    <row r="52" spans="1:14" ht="12.75">
      <c r="A52" s="9">
        <v>1991</v>
      </c>
      <c r="B52">
        <v>370</v>
      </c>
      <c r="C52">
        <v>577</v>
      </c>
      <c r="D52">
        <v>947</v>
      </c>
      <c r="F52" s="9">
        <f t="shared" si="12"/>
        <v>1991</v>
      </c>
      <c r="G52" s="1">
        <f t="shared" si="13"/>
        <v>2711730</v>
      </c>
      <c r="H52" s="1">
        <f t="shared" si="13"/>
        <v>132939</v>
      </c>
      <c r="I52" s="1">
        <f t="shared" si="13"/>
        <v>2844669</v>
      </c>
      <c r="K52" s="9">
        <f t="shared" si="14"/>
        <v>1991</v>
      </c>
      <c r="L52" s="1">
        <f t="shared" si="15"/>
        <v>13.644426251876109</v>
      </c>
      <c r="M52" s="1">
        <f t="shared" si="10"/>
        <v>434.0336545332822</v>
      </c>
      <c r="N52" s="1">
        <f t="shared" si="11"/>
        <v>33.29034063365545</v>
      </c>
    </row>
    <row r="53" spans="1:14" ht="12.75">
      <c r="A53" s="9">
        <v>1992</v>
      </c>
      <c r="B53">
        <v>361</v>
      </c>
      <c r="C53">
        <v>615</v>
      </c>
      <c r="D53">
        <v>976</v>
      </c>
      <c r="F53" s="9">
        <f t="shared" si="12"/>
        <v>1992</v>
      </c>
      <c r="G53" s="1">
        <f t="shared" si="13"/>
        <v>2779309</v>
      </c>
      <c r="H53" s="1">
        <f t="shared" si="13"/>
        <v>136991</v>
      </c>
      <c r="I53" s="1">
        <f t="shared" si="13"/>
        <v>2916300</v>
      </c>
      <c r="K53" s="9">
        <f t="shared" si="14"/>
        <v>1992</v>
      </c>
      <c r="L53" s="1">
        <f t="shared" si="15"/>
        <v>12.988840031820859</v>
      </c>
      <c r="M53" s="1">
        <f t="shared" si="10"/>
        <v>448.93460154316705</v>
      </c>
      <c r="N53" s="1">
        <f t="shared" si="11"/>
        <v>33.46706443095704</v>
      </c>
    </row>
    <row r="54" spans="1:14" ht="12.75">
      <c r="A54" s="9">
        <v>1993</v>
      </c>
      <c r="B54">
        <v>338</v>
      </c>
      <c r="C54">
        <v>555</v>
      </c>
      <c r="D54">
        <v>893</v>
      </c>
      <c r="F54" s="9">
        <f t="shared" si="12"/>
        <v>1993</v>
      </c>
      <c r="G54" s="1">
        <f t="shared" si="13"/>
        <v>2851608</v>
      </c>
      <c r="H54" s="1">
        <f t="shared" si="13"/>
        <v>141047</v>
      </c>
      <c r="I54" s="1">
        <f t="shared" si="13"/>
        <v>2992655</v>
      </c>
      <c r="K54" s="9">
        <f t="shared" si="14"/>
        <v>1993</v>
      </c>
      <c r="L54" s="1">
        <f t="shared" si="15"/>
        <v>11.852961557128468</v>
      </c>
      <c r="M54" s="1">
        <f t="shared" si="10"/>
        <v>393.4858593234879</v>
      </c>
      <c r="N54" s="1">
        <f t="shared" si="11"/>
        <v>29.839724258225555</v>
      </c>
    </row>
    <row r="55" spans="1:14" ht="12.75">
      <c r="A55" s="9">
        <v>1994</v>
      </c>
      <c r="B55">
        <v>371</v>
      </c>
      <c r="C55">
        <v>620</v>
      </c>
      <c r="D55">
        <v>991</v>
      </c>
      <c r="F55" s="9">
        <f t="shared" si="12"/>
        <v>1994</v>
      </c>
      <c r="G55" s="1">
        <f t="shared" si="13"/>
        <v>2919546</v>
      </c>
      <c r="H55" s="1">
        <f t="shared" si="13"/>
        <v>144157</v>
      </c>
      <c r="I55" s="1">
        <f t="shared" si="13"/>
        <v>3063703</v>
      </c>
      <c r="K55" s="9">
        <f t="shared" si="14"/>
        <v>1994</v>
      </c>
      <c r="L55" s="1">
        <f t="shared" si="15"/>
        <v>12.707455200226336</v>
      </c>
      <c r="M55" s="1">
        <f t="shared" si="10"/>
        <v>430.08664164764804</v>
      </c>
      <c r="N55" s="1">
        <f t="shared" si="11"/>
        <v>32.346477449021656</v>
      </c>
    </row>
    <row r="56" spans="1:14" ht="12.75">
      <c r="A56" s="9">
        <v>1995</v>
      </c>
      <c r="B56">
        <v>388</v>
      </c>
      <c r="C56">
        <v>764</v>
      </c>
      <c r="D56">
        <v>1152</v>
      </c>
      <c r="F56" s="9">
        <f t="shared" si="12"/>
        <v>1995</v>
      </c>
      <c r="G56" s="1">
        <f t="shared" si="13"/>
        <v>2977692</v>
      </c>
      <c r="H56" s="1">
        <f t="shared" si="13"/>
        <v>146048</v>
      </c>
      <c r="I56" s="1">
        <f t="shared" si="13"/>
        <v>3123740</v>
      </c>
      <c r="K56" s="9">
        <f t="shared" si="14"/>
        <v>1995</v>
      </c>
      <c r="L56" s="1">
        <f t="shared" si="15"/>
        <v>13.030226094572575</v>
      </c>
      <c r="M56" s="1">
        <f t="shared" si="10"/>
        <v>523.1156879929886</v>
      </c>
      <c r="N56" s="1">
        <f t="shared" si="11"/>
        <v>36.878869560206674</v>
      </c>
    </row>
    <row r="57" spans="1:14" ht="12.75">
      <c r="A57" s="9">
        <v>1996</v>
      </c>
      <c r="B57">
        <v>321</v>
      </c>
      <c r="C57">
        <v>424</v>
      </c>
      <c r="D57">
        <v>745</v>
      </c>
      <c r="F57" s="9">
        <f t="shared" si="12"/>
        <v>1996</v>
      </c>
      <c r="G57" s="1">
        <f t="shared" si="13"/>
        <v>3026511</v>
      </c>
      <c r="H57" s="1">
        <f t="shared" si="13"/>
        <v>148233</v>
      </c>
      <c r="I57" s="1">
        <f t="shared" si="13"/>
        <v>3174744</v>
      </c>
      <c r="K57" s="9">
        <f t="shared" si="14"/>
        <v>1996</v>
      </c>
      <c r="L57" s="1">
        <f t="shared" si="15"/>
        <v>10.606272371056969</v>
      </c>
      <c r="M57" s="1">
        <f t="shared" si="10"/>
        <v>286.0361727820391</v>
      </c>
      <c r="N57" s="1">
        <f t="shared" si="11"/>
        <v>23.466459027877523</v>
      </c>
    </row>
    <row r="58" spans="1:14" ht="12.75">
      <c r="A58" s="9">
        <v>1997</v>
      </c>
      <c r="B58">
        <v>0</v>
      </c>
      <c r="C58">
        <v>0</v>
      </c>
      <c r="D58">
        <v>0</v>
      </c>
      <c r="F58" s="9">
        <f t="shared" si="12"/>
        <v>1997</v>
      </c>
      <c r="G58" s="1">
        <f t="shared" si="13"/>
        <v>3075558</v>
      </c>
      <c r="H58" s="1">
        <f t="shared" si="13"/>
        <v>150906</v>
      </c>
      <c r="I58" s="1">
        <f t="shared" si="13"/>
        <v>3226464</v>
      </c>
      <c r="K58" s="9">
        <f t="shared" si="14"/>
        <v>1997</v>
      </c>
      <c r="L58" s="1"/>
      <c r="M58" s="1"/>
      <c r="N58" s="1"/>
    </row>
    <row r="59" spans="1:14" ht="12.75">
      <c r="A59" s="9">
        <v>1998</v>
      </c>
      <c r="B59">
        <v>331</v>
      </c>
      <c r="C59">
        <v>546</v>
      </c>
      <c r="D59">
        <v>877</v>
      </c>
      <c r="F59" s="9">
        <f t="shared" si="12"/>
        <v>1998</v>
      </c>
      <c r="G59" s="1">
        <f t="shared" si="13"/>
        <v>3122879</v>
      </c>
      <c r="H59" s="1">
        <f t="shared" si="13"/>
        <v>154615</v>
      </c>
      <c r="I59" s="1">
        <f t="shared" si="13"/>
        <v>3277494</v>
      </c>
      <c r="K59" s="9">
        <f t="shared" si="14"/>
        <v>1998</v>
      </c>
      <c r="L59" s="1">
        <f t="shared" si="15"/>
        <v>10.599193884873541</v>
      </c>
      <c r="M59" s="1">
        <f t="shared" si="10"/>
        <v>353.135206803997</v>
      </c>
      <c r="N59" s="1">
        <f t="shared" si="11"/>
        <v>26.758248832797257</v>
      </c>
    </row>
    <row r="60" spans="1:14" ht="12.75">
      <c r="A60" s="9">
        <v>1999</v>
      </c>
      <c r="B60">
        <v>501</v>
      </c>
      <c r="C60">
        <v>763</v>
      </c>
      <c r="D60">
        <v>1264</v>
      </c>
      <c r="F60" s="9">
        <f t="shared" si="12"/>
        <v>1999</v>
      </c>
      <c r="G60" s="1">
        <f t="shared" si="13"/>
        <v>3177332</v>
      </c>
      <c r="H60" s="1">
        <f t="shared" si="13"/>
        <v>157578</v>
      </c>
      <c r="I60" s="1">
        <f t="shared" si="13"/>
        <v>3334910</v>
      </c>
      <c r="K60" s="9">
        <f t="shared" si="14"/>
        <v>1999</v>
      </c>
      <c r="L60" s="1">
        <f t="shared" si="15"/>
        <v>15.767946188815019</v>
      </c>
      <c r="M60" s="1">
        <f t="shared" si="10"/>
        <v>484.2046478569343</v>
      </c>
      <c r="N60" s="1">
        <f t="shared" si="11"/>
        <v>37.90207231979274</v>
      </c>
    </row>
    <row r="63" spans="1:14" ht="30.75" customHeight="1">
      <c r="A63" s="33" t="str">
        <f>CONCATENATE("New Admissions for Drug Offenses, BW Only: ",$A$1)</f>
        <v>New Admissions for Drug Offenses, BW Only: GEORGIA</v>
      </c>
      <c r="B63" s="33"/>
      <c r="C63" s="33"/>
      <c r="D63" s="33"/>
      <c r="F63" s="33" t="str">
        <f>CONCATENATE("Total Population, BW Only: ",$A$1)</f>
        <v>Total Population, BW Only: GEORGIA</v>
      </c>
      <c r="G63" s="33"/>
      <c r="H63" s="33"/>
      <c r="I63" s="33"/>
      <c r="K63" s="33" t="str">
        <f>CONCATENATE("New Admissions for Drug Offenses, BW Only, Per 100,000: ",$A$1)</f>
        <v>New Admissions for Drug Offenses, BW Only, Per 100,000: GEORGIA</v>
      </c>
      <c r="L63" s="33"/>
      <c r="M63" s="33"/>
      <c r="N63" s="33"/>
    </row>
    <row r="64" spans="1:14" ht="12.75">
      <c r="A64" s="24" t="s">
        <v>25</v>
      </c>
      <c r="B64" s="25" t="s">
        <v>11</v>
      </c>
      <c r="C64" s="25" t="s">
        <v>12</v>
      </c>
      <c r="D64" s="25" t="s">
        <v>13</v>
      </c>
      <c r="F64" s="24" t="s">
        <v>25</v>
      </c>
      <c r="G64" s="25" t="s">
        <v>11</v>
      </c>
      <c r="H64" s="25" t="s">
        <v>12</v>
      </c>
      <c r="I64" s="25" t="s">
        <v>13</v>
      </c>
      <c r="K64" s="24" t="s">
        <v>25</v>
      </c>
      <c r="L64" s="25" t="s">
        <v>11</v>
      </c>
      <c r="M64" s="25" t="s">
        <v>12</v>
      </c>
      <c r="N64" s="25" t="s">
        <v>13</v>
      </c>
    </row>
    <row r="65" spans="1:14" ht="12.75">
      <c r="A65" s="9">
        <v>1983</v>
      </c>
      <c r="B65">
        <v>391</v>
      </c>
      <c r="C65">
        <v>339</v>
      </c>
      <c r="D65">
        <v>730</v>
      </c>
      <c r="F65" s="9">
        <f>F4</f>
        <v>1983</v>
      </c>
      <c r="G65" s="1">
        <f>G4</f>
        <v>2581691</v>
      </c>
      <c r="H65" s="1">
        <f>H4</f>
        <v>114105</v>
      </c>
      <c r="I65" s="1">
        <f>I4</f>
        <v>2695796</v>
      </c>
      <c r="K65" s="9">
        <f>F65</f>
        <v>1983</v>
      </c>
      <c r="L65" s="1">
        <f>(B65/G65)*100000</f>
        <v>15.145112253945184</v>
      </c>
      <c r="M65" s="1">
        <f aca="true" t="shared" si="16" ref="M65:M81">(C65/H65)*100000</f>
        <v>297.0947811226502</v>
      </c>
      <c r="N65" s="1">
        <f aca="true" t="shared" si="17" ref="N65:N81">(D65/I65)*100000</f>
        <v>27.079200354923</v>
      </c>
    </row>
    <row r="66" spans="1:14" ht="12.75">
      <c r="A66" s="9">
        <v>1984</v>
      </c>
      <c r="B66">
        <v>501</v>
      </c>
      <c r="C66">
        <v>546</v>
      </c>
      <c r="D66">
        <v>1047</v>
      </c>
      <c r="F66" s="9">
        <f aca="true" t="shared" si="18" ref="F66:I81">F5</f>
        <v>1984</v>
      </c>
      <c r="G66" s="1">
        <f t="shared" si="18"/>
        <v>2604945</v>
      </c>
      <c r="H66" s="1">
        <f t="shared" si="18"/>
        <v>116754</v>
      </c>
      <c r="I66" s="1">
        <f t="shared" si="18"/>
        <v>2721699</v>
      </c>
      <c r="K66" s="9">
        <f aca="true" t="shared" si="19" ref="K66:K81">F66</f>
        <v>1984</v>
      </c>
      <c r="L66" s="1">
        <f aca="true" t="shared" si="20" ref="L66:L81">(B66/G66)*100000</f>
        <v>19.23265174504644</v>
      </c>
      <c r="M66" s="1">
        <f t="shared" si="16"/>
        <v>467.64993062336197</v>
      </c>
      <c r="N66" s="1">
        <f t="shared" si="17"/>
        <v>38.46861831525088</v>
      </c>
    </row>
    <row r="67" spans="1:14" ht="12.75">
      <c r="A67" s="9">
        <v>1985</v>
      </c>
      <c r="B67">
        <v>0</v>
      </c>
      <c r="C67">
        <v>0</v>
      </c>
      <c r="D67">
        <v>0</v>
      </c>
      <c r="F67" s="9">
        <f t="shared" si="18"/>
        <v>1985</v>
      </c>
      <c r="G67" s="1">
        <f t="shared" si="18"/>
        <v>2629537</v>
      </c>
      <c r="H67" s="1">
        <f t="shared" si="18"/>
        <v>120330</v>
      </c>
      <c r="I67" s="1">
        <f t="shared" si="18"/>
        <v>2749867</v>
      </c>
      <c r="K67" s="9">
        <f t="shared" si="19"/>
        <v>1985</v>
      </c>
      <c r="L67" s="1"/>
      <c r="M67" s="1"/>
      <c r="N67" s="1"/>
    </row>
    <row r="68" spans="1:14" ht="12.75">
      <c r="A68" s="9">
        <v>1986</v>
      </c>
      <c r="B68">
        <v>0</v>
      </c>
      <c r="C68">
        <v>0</v>
      </c>
      <c r="D68">
        <v>0</v>
      </c>
      <c r="F68" s="9">
        <f t="shared" si="18"/>
        <v>1986</v>
      </c>
      <c r="G68" s="1">
        <f t="shared" si="18"/>
        <v>2646030</v>
      </c>
      <c r="H68" s="1">
        <f t="shared" si="18"/>
        <v>122893</v>
      </c>
      <c r="I68" s="1">
        <f t="shared" si="18"/>
        <v>2768923</v>
      </c>
      <c r="K68" s="9">
        <f t="shared" si="19"/>
        <v>1986</v>
      </c>
      <c r="L68" s="1"/>
      <c r="M68" s="1"/>
      <c r="N68" s="1"/>
    </row>
    <row r="69" spans="1:14" ht="12.75">
      <c r="A69" s="9">
        <v>1987</v>
      </c>
      <c r="B69">
        <v>0</v>
      </c>
      <c r="C69">
        <v>0</v>
      </c>
      <c r="D69">
        <v>0</v>
      </c>
      <c r="F69" s="9">
        <f t="shared" si="18"/>
        <v>1987</v>
      </c>
      <c r="G69" s="1">
        <f t="shared" si="18"/>
        <v>2656720</v>
      </c>
      <c r="H69" s="1">
        <f t="shared" si="18"/>
        <v>125103</v>
      </c>
      <c r="I69" s="1">
        <f t="shared" si="18"/>
        <v>2781823</v>
      </c>
      <c r="K69" s="9">
        <f t="shared" si="19"/>
        <v>1987</v>
      </c>
      <c r="L69" s="1"/>
      <c r="M69" s="1"/>
      <c r="N69" s="1"/>
    </row>
    <row r="70" spans="1:14" ht="12.75">
      <c r="A70" s="9">
        <v>1988</v>
      </c>
      <c r="B70">
        <v>831</v>
      </c>
      <c r="C70">
        <v>2136</v>
      </c>
      <c r="D70">
        <v>2967</v>
      </c>
      <c r="F70" s="9">
        <f t="shared" si="18"/>
        <v>1988</v>
      </c>
      <c r="G70" s="1">
        <f t="shared" si="18"/>
        <v>2650229</v>
      </c>
      <c r="H70" s="1">
        <f t="shared" si="18"/>
        <v>125790</v>
      </c>
      <c r="I70" s="1">
        <f t="shared" si="18"/>
        <v>2776019</v>
      </c>
      <c r="K70" s="9">
        <f t="shared" si="19"/>
        <v>1988</v>
      </c>
      <c r="L70" s="1">
        <f t="shared" si="20"/>
        <v>31.355780953268567</v>
      </c>
      <c r="M70" s="1">
        <f t="shared" si="16"/>
        <v>1698.068208919628</v>
      </c>
      <c r="N70" s="1">
        <f t="shared" si="17"/>
        <v>106.87967193308114</v>
      </c>
    </row>
    <row r="71" spans="1:14" ht="12.75">
      <c r="A71" s="9">
        <v>1989</v>
      </c>
      <c r="B71">
        <v>637</v>
      </c>
      <c r="C71">
        <v>2105</v>
      </c>
      <c r="D71">
        <v>2742</v>
      </c>
      <c r="F71" s="9">
        <f t="shared" si="18"/>
        <v>1989</v>
      </c>
      <c r="G71" s="1">
        <f t="shared" si="18"/>
        <v>2653612</v>
      </c>
      <c r="H71" s="1">
        <f t="shared" si="18"/>
        <v>127183</v>
      </c>
      <c r="I71" s="1">
        <f t="shared" si="18"/>
        <v>2780795</v>
      </c>
      <c r="K71" s="9">
        <f t="shared" si="19"/>
        <v>1989</v>
      </c>
      <c r="L71" s="1">
        <f t="shared" si="20"/>
        <v>24.005016558562442</v>
      </c>
      <c r="M71" s="1">
        <f t="shared" si="16"/>
        <v>1655.0954136952266</v>
      </c>
      <c r="N71" s="1">
        <f t="shared" si="17"/>
        <v>98.60489536265707</v>
      </c>
    </row>
    <row r="72" spans="1:14" ht="12.75">
      <c r="A72" s="9">
        <v>1990</v>
      </c>
      <c r="B72">
        <v>622</v>
      </c>
      <c r="C72">
        <v>2444</v>
      </c>
      <c r="D72">
        <v>3066</v>
      </c>
      <c r="F72" s="9">
        <f t="shared" si="18"/>
        <v>1990</v>
      </c>
      <c r="G72" s="1">
        <f t="shared" si="18"/>
        <v>2666442</v>
      </c>
      <c r="H72" s="1">
        <f t="shared" si="18"/>
        <v>129089</v>
      </c>
      <c r="I72" s="1">
        <f t="shared" si="18"/>
        <v>2795531</v>
      </c>
      <c r="K72" s="9">
        <f t="shared" si="19"/>
        <v>1990</v>
      </c>
      <c r="L72" s="1">
        <f t="shared" si="20"/>
        <v>23.32696529682626</v>
      </c>
      <c r="M72" s="1">
        <f t="shared" si="16"/>
        <v>1893.267435645175</v>
      </c>
      <c r="N72" s="1">
        <f t="shared" si="17"/>
        <v>109.6750492124752</v>
      </c>
    </row>
    <row r="73" spans="1:14" ht="12.75">
      <c r="A73" s="9">
        <v>1991</v>
      </c>
      <c r="B73">
        <v>514</v>
      </c>
      <c r="C73">
        <v>2018</v>
      </c>
      <c r="D73">
        <v>2532</v>
      </c>
      <c r="F73" s="9">
        <f t="shared" si="18"/>
        <v>1991</v>
      </c>
      <c r="G73" s="1">
        <f t="shared" si="18"/>
        <v>2711730</v>
      </c>
      <c r="H73" s="1">
        <f t="shared" si="18"/>
        <v>132939</v>
      </c>
      <c r="I73" s="1">
        <f t="shared" si="18"/>
        <v>2844669</v>
      </c>
      <c r="K73" s="9">
        <f t="shared" si="19"/>
        <v>1991</v>
      </c>
      <c r="L73" s="1">
        <f t="shared" si="20"/>
        <v>18.95468944179546</v>
      </c>
      <c r="M73" s="1">
        <f t="shared" si="16"/>
        <v>1517.989453809642</v>
      </c>
      <c r="N73" s="1">
        <f t="shared" si="17"/>
        <v>89.00859818840084</v>
      </c>
    </row>
    <row r="74" spans="1:14" ht="12.75">
      <c r="A74" s="9">
        <v>1992</v>
      </c>
      <c r="B74">
        <v>450</v>
      </c>
      <c r="C74">
        <v>1917</v>
      </c>
      <c r="D74">
        <v>2367</v>
      </c>
      <c r="F74" s="9">
        <f t="shared" si="18"/>
        <v>1992</v>
      </c>
      <c r="G74" s="1">
        <f t="shared" si="18"/>
        <v>2779309</v>
      </c>
      <c r="H74" s="1">
        <f t="shared" si="18"/>
        <v>136991</v>
      </c>
      <c r="I74" s="1">
        <f t="shared" si="18"/>
        <v>2916300</v>
      </c>
      <c r="K74" s="9">
        <f t="shared" si="19"/>
        <v>1992</v>
      </c>
      <c r="L74" s="1">
        <f t="shared" si="20"/>
        <v>16.191074831909656</v>
      </c>
      <c r="M74" s="1">
        <f t="shared" si="16"/>
        <v>1399.3620018833353</v>
      </c>
      <c r="N74" s="1">
        <f t="shared" si="17"/>
        <v>81.16448925007715</v>
      </c>
    </row>
    <row r="75" spans="1:14" ht="12.75">
      <c r="A75" s="9">
        <v>1993</v>
      </c>
      <c r="B75">
        <v>385</v>
      </c>
      <c r="C75">
        <v>1648</v>
      </c>
      <c r="D75">
        <v>2033</v>
      </c>
      <c r="F75" s="9">
        <f t="shared" si="18"/>
        <v>1993</v>
      </c>
      <c r="G75" s="1">
        <f t="shared" si="18"/>
        <v>2851608</v>
      </c>
      <c r="H75" s="1">
        <f t="shared" si="18"/>
        <v>141047</v>
      </c>
      <c r="I75" s="1">
        <f t="shared" si="18"/>
        <v>2992655</v>
      </c>
      <c r="K75" s="9">
        <f t="shared" si="19"/>
        <v>1993</v>
      </c>
      <c r="L75" s="1">
        <f t="shared" si="20"/>
        <v>13.501154436374144</v>
      </c>
      <c r="M75" s="1">
        <f t="shared" si="16"/>
        <v>1168.4048579551497</v>
      </c>
      <c r="N75" s="1">
        <f t="shared" si="17"/>
        <v>67.93298926872626</v>
      </c>
    </row>
    <row r="76" spans="1:14" ht="12.75">
      <c r="A76" s="9">
        <v>1994</v>
      </c>
      <c r="B76">
        <v>433</v>
      </c>
      <c r="C76">
        <v>1736</v>
      </c>
      <c r="D76">
        <v>2169</v>
      </c>
      <c r="F76" s="9">
        <f t="shared" si="18"/>
        <v>1994</v>
      </c>
      <c r="G76" s="1">
        <f t="shared" si="18"/>
        <v>2919546</v>
      </c>
      <c r="H76" s="1">
        <f t="shared" si="18"/>
        <v>144157</v>
      </c>
      <c r="I76" s="1">
        <f t="shared" si="18"/>
        <v>3063703</v>
      </c>
      <c r="K76" s="9">
        <f t="shared" si="19"/>
        <v>1994</v>
      </c>
      <c r="L76" s="1">
        <f t="shared" si="20"/>
        <v>14.831073050398933</v>
      </c>
      <c r="M76" s="1">
        <f t="shared" si="16"/>
        <v>1204.2425966134147</v>
      </c>
      <c r="N76" s="1">
        <f t="shared" si="17"/>
        <v>70.79667970426637</v>
      </c>
    </row>
    <row r="77" spans="1:14" ht="12.75">
      <c r="A77" s="9">
        <v>1995</v>
      </c>
      <c r="B77">
        <v>510</v>
      </c>
      <c r="C77">
        <v>1886</v>
      </c>
      <c r="D77">
        <v>2396</v>
      </c>
      <c r="F77" s="9">
        <f t="shared" si="18"/>
        <v>1995</v>
      </c>
      <c r="G77" s="1">
        <f t="shared" si="18"/>
        <v>2977692</v>
      </c>
      <c r="H77" s="1">
        <f t="shared" si="18"/>
        <v>146048</v>
      </c>
      <c r="I77" s="1">
        <f t="shared" si="18"/>
        <v>3123740</v>
      </c>
      <c r="K77" s="9">
        <f t="shared" si="19"/>
        <v>1995</v>
      </c>
      <c r="L77" s="1">
        <f t="shared" si="20"/>
        <v>17.127359041835085</v>
      </c>
      <c r="M77" s="1">
        <f t="shared" si="16"/>
        <v>1291.3562664329536</v>
      </c>
      <c r="N77" s="1">
        <f t="shared" si="17"/>
        <v>76.70292662001319</v>
      </c>
    </row>
    <row r="78" spans="1:14" ht="12.75">
      <c r="A78" s="9">
        <v>1996</v>
      </c>
      <c r="B78">
        <v>400</v>
      </c>
      <c r="C78">
        <v>1278</v>
      </c>
      <c r="D78">
        <v>1678</v>
      </c>
      <c r="F78" s="9">
        <f t="shared" si="18"/>
        <v>1996</v>
      </c>
      <c r="G78" s="1">
        <f t="shared" si="18"/>
        <v>3026511</v>
      </c>
      <c r="H78" s="1">
        <f t="shared" si="18"/>
        <v>148233</v>
      </c>
      <c r="I78" s="1">
        <f t="shared" si="18"/>
        <v>3174744</v>
      </c>
      <c r="K78" s="9">
        <f t="shared" si="19"/>
        <v>1996</v>
      </c>
      <c r="L78" s="1">
        <f t="shared" si="20"/>
        <v>13.216538780133297</v>
      </c>
      <c r="M78" s="1">
        <f t="shared" si="16"/>
        <v>862.1562000364291</v>
      </c>
      <c r="N78" s="1">
        <f t="shared" si="17"/>
        <v>52.8546553674879</v>
      </c>
    </row>
    <row r="79" spans="1:14" ht="12.75">
      <c r="A79" s="9">
        <v>1997</v>
      </c>
      <c r="B79">
        <v>0</v>
      </c>
      <c r="C79">
        <v>0</v>
      </c>
      <c r="D79">
        <v>0</v>
      </c>
      <c r="F79" s="9">
        <f t="shared" si="18"/>
        <v>1997</v>
      </c>
      <c r="G79" s="1">
        <f t="shared" si="18"/>
        <v>3075558</v>
      </c>
      <c r="H79" s="1">
        <f t="shared" si="18"/>
        <v>150906</v>
      </c>
      <c r="I79" s="1">
        <f t="shared" si="18"/>
        <v>3226464</v>
      </c>
      <c r="K79" s="9">
        <f t="shared" si="19"/>
        <v>1997</v>
      </c>
      <c r="L79" s="1"/>
      <c r="M79" s="1"/>
      <c r="N79" s="1"/>
    </row>
    <row r="80" spans="1:14" ht="12.75">
      <c r="A80" s="9">
        <v>1998</v>
      </c>
      <c r="B80">
        <v>447</v>
      </c>
      <c r="C80">
        <v>1174</v>
      </c>
      <c r="D80">
        <v>1621</v>
      </c>
      <c r="F80" s="9">
        <f t="shared" si="18"/>
        <v>1998</v>
      </c>
      <c r="G80" s="1">
        <f t="shared" si="18"/>
        <v>3122879</v>
      </c>
      <c r="H80" s="1">
        <f t="shared" si="18"/>
        <v>154615</v>
      </c>
      <c r="I80" s="1">
        <f t="shared" si="18"/>
        <v>3277494</v>
      </c>
      <c r="K80" s="9">
        <f t="shared" si="19"/>
        <v>1998</v>
      </c>
      <c r="L80" s="1">
        <f t="shared" si="20"/>
        <v>14.313715004647955</v>
      </c>
      <c r="M80" s="1">
        <f t="shared" si="16"/>
        <v>759.3053714063966</v>
      </c>
      <c r="N80" s="1">
        <f t="shared" si="17"/>
        <v>49.45851922230827</v>
      </c>
    </row>
    <row r="81" spans="1:14" ht="12.75">
      <c r="A81" s="9">
        <v>1999</v>
      </c>
      <c r="B81">
        <v>620</v>
      </c>
      <c r="C81">
        <v>1872</v>
      </c>
      <c r="D81">
        <v>2492</v>
      </c>
      <c r="F81" s="9">
        <f t="shared" si="18"/>
        <v>1999</v>
      </c>
      <c r="G81" s="1">
        <f t="shared" si="18"/>
        <v>3177332</v>
      </c>
      <c r="H81" s="1">
        <f t="shared" si="18"/>
        <v>157578</v>
      </c>
      <c r="I81" s="1">
        <f t="shared" si="18"/>
        <v>3334910</v>
      </c>
      <c r="K81" s="9">
        <f t="shared" si="19"/>
        <v>1999</v>
      </c>
      <c r="L81" s="1">
        <f t="shared" si="20"/>
        <v>19.513226820489642</v>
      </c>
      <c r="M81" s="1">
        <f t="shared" si="16"/>
        <v>1187.983094086738</v>
      </c>
      <c r="N81" s="1">
        <f t="shared" si="17"/>
        <v>74.72465523807239</v>
      </c>
    </row>
    <row r="83" spans="1:14" ht="27" customHeight="1">
      <c r="A83" s="33" t="str">
        <f>CONCATENATE("New Admissions for Other / Unknown Offenses, BW Only: ",$A$1)</f>
        <v>New Admissions for Other / Unknown Offenses, BW Only: GEORGIA</v>
      </c>
      <c r="B83" s="33"/>
      <c r="C83" s="33"/>
      <c r="D83" s="33"/>
      <c r="F83" s="33" t="str">
        <f>CONCATENATE("Total Population, BW Only: ",$A$1)</f>
        <v>Total Population, BW Only: GEORGIA</v>
      </c>
      <c r="G83" s="33"/>
      <c r="H83" s="33"/>
      <c r="I83" s="33"/>
      <c r="K83" s="33" t="str">
        <f>CONCATENATE("New Admissions for Other &amp; Unknown Offenses, BW Only, Per 100,000: ",$A$1)</f>
        <v>New Admissions for Other &amp; Unknown Offenses, BW Only, Per 100,000: GEORGIA</v>
      </c>
      <c r="L83" s="33"/>
      <c r="M83" s="33"/>
      <c r="N83" s="33"/>
    </row>
    <row r="84" spans="1:14" ht="12.75">
      <c r="A84" s="24" t="s">
        <v>25</v>
      </c>
      <c r="B84" s="25" t="s">
        <v>11</v>
      </c>
      <c r="C84" s="25" t="s">
        <v>12</v>
      </c>
      <c r="D84" s="25" t="s">
        <v>13</v>
      </c>
      <c r="F84" s="24" t="s">
        <v>25</v>
      </c>
      <c r="G84" s="25" t="s">
        <v>11</v>
      </c>
      <c r="H84" s="25" t="s">
        <v>12</v>
      </c>
      <c r="I84" s="25" t="s">
        <v>13</v>
      </c>
      <c r="K84" s="24" t="s">
        <v>25</v>
      </c>
      <c r="L84" s="25" t="s">
        <v>11</v>
      </c>
      <c r="M84" s="25" t="s">
        <v>12</v>
      </c>
      <c r="N84" s="25" t="s">
        <v>13</v>
      </c>
    </row>
    <row r="85" spans="1:14" ht="12.75">
      <c r="A85" s="9">
        <v>1983</v>
      </c>
      <c r="B85">
        <v>389</v>
      </c>
      <c r="C85">
        <v>276</v>
      </c>
      <c r="D85">
        <v>665</v>
      </c>
      <c r="F85" s="9">
        <f aca="true" t="shared" si="21" ref="F85:I99">F4</f>
        <v>1983</v>
      </c>
      <c r="G85" s="1">
        <f t="shared" si="21"/>
        <v>2581691</v>
      </c>
      <c r="H85" s="1">
        <f t="shared" si="21"/>
        <v>114105</v>
      </c>
      <c r="I85" s="1">
        <f t="shared" si="21"/>
        <v>2695796</v>
      </c>
      <c r="K85" s="9">
        <f>F85</f>
        <v>1983</v>
      </c>
      <c r="L85" s="1">
        <f>(B85/G85)*100000</f>
        <v>15.067643649065669</v>
      </c>
      <c r="M85" s="1">
        <f aca="true" t="shared" si="22" ref="M85:M101">(C85/H85)*100000</f>
        <v>241.88247666622848</v>
      </c>
      <c r="N85" s="1">
        <f aca="true" t="shared" si="23" ref="N85:N101">(D85/I85)*100000</f>
        <v>24.668038679484653</v>
      </c>
    </row>
    <row r="86" spans="1:14" ht="12.75">
      <c r="A86" s="9">
        <v>1984</v>
      </c>
      <c r="B86">
        <v>755</v>
      </c>
      <c r="C86">
        <v>579</v>
      </c>
      <c r="D86">
        <v>1334</v>
      </c>
      <c r="F86" s="9">
        <f t="shared" si="21"/>
        <v>1984</v>
      </c>
      <c r="G86" s="1">
        <f t="shared" si="21"/>
        <v>2604945</v>
      </c>
      <c r="H86" s="1">
        <f t="shared" si="21"/>
        <v>116754</v>
      </c>
      <c r="I86" s="1">
        <f t="shared" si="21"/>
        <v>2721699</v>
      </c>
      <c r="K86" s="9">
        <f aca="true" t="shared" si="24" ref="K86:K101">F86</f>
        <v>1984</v>
      </c>
      <c r="L86" s="1">
        <f aca="true" t="shared" si="25" ref="L86:L101">(B86/G86)*100000</f>
        <v>28.98333746009992</v>
      </c>
      <c r="M86" s="1">
        <f t="shared" si="22"/>
        <v>495.9144868698289</v>
      </c>
      <c r="N86" s="1">
        <f t="shared" si="23"/>
        <v>49.01350222783637</v>
      </c>
    </row>
    <row r="87" spans="1:14" ht="12.75">
      <c r="A87" s="9">
        <v>1985</v>
      </c>
      <c r="B87">
        <v>0</v>
      </c>
      <c r="C87">
        <v>0</v>
      </c>
      <c r="D87">
        <v>0</v>
      </c>
      <c r="F87" s="9">
        <f t="shared" si="21"/>
        <v>1985</v>
      </c>
      <c r="G87" s="1">
        <f t="shared" si="21"/>
        <v>2629537</v>
      </c>
      <c r="H87" s="1">
        <f t="shared" si="21"/>
        <v>120330</v>
      </c>
      <c r="I87" s="1">
        <f t="shared" si="21"/>
        <v>2749867</v>
      </c>
      <c r="K87" s="9">
        <f t="shared" si="24"/>
        <v>1985</v>
      </c>
      <c r="L87" s="1"/>
      <c r="M87" s="1"/>
      <c r="N87" s="1"/>
    </row>
    <row r="88" spans="1:14" ht="12.75">
      <c r="A88" s="9">
        <v>1986</v>
      </c>
      <c r="B88">
        <v>0</v>
      </c>
      <c r="C88">
        <v>0</v>
      </c>
      <c r="D88">
        <v>0</v>
      </c>
      <c r="F88" s="9">
        <f t="shared" si="21"/>
        <v>1986</v>
      </c>
      <c r="G88" s="1">
        <f t="shared" si="21"/>
        <v>2646030</v>
      </c>
      <c r="H88" s="1">
        <f t="shared" si="21"/>
        <v>122893</v>
      </c>
      <c r="I88" s="1">
        <f t="shared" si="21"/>
        <v>2768923</v>
      </c>
      <c r="K88" s="9">
        <f t="shared" si="24"/>
        <v>1986</v>
      </c>
      <c r="L88" s="1"/>
      <c r="M88" s="1"/>
      <c r="N88" s="1"/>
    </row>
    <row r="89" spans="1:14" ht="12.75">
      <c r="A89" s="9">
        <v>1987</v>
      </c>
      <c r="B89">
        <v>3450</v>
      </c>
      <c r="C89">
        <v>4839</v>
      </c>
      <c r="D89">
        <v>8289</v>
      </c>
      <c r="F89" s="9">
        <f t="shared" si="21"/>
        <v>1987</v>
      </c>
      <c r="G89" s="1">
        <f t="shared" si="21"/>
        <v>2656720</v>
      </c>
      <c r="H89" s="1">
        <f t="shared" si="21"/>
        <v>125103</v>
      </c>
      <c r="I89" s="1">
        <f t="shared" si="21"/>
        <v>2781823</v>
      </c>
      <c r="K89" s="9">
        <f t="shared" si="24"/>
        <v>1987</v>
      </c>
      <c r="L89" s="1">
        <f t="shared" si="25"/>
        <v>129.85937547050497</v>
      </c>
      <c r="M89" s="1">
        <f t="shared" si="22"/>
        <v>3868.0127574878297</v>
      </c>
      <c r="N89" s="1">
        <f t="shared" si="23"/>
        <v>297.9700721433391</v>
      </c>
    </row>
    <row r="90" spans="1:14" ht="12.75">
      <c r="A90" s="9">
        <v>1988</v>
      </c>
      <c r="B90">
        <v>2509</v>
      </c>
      <c r="C90">
        <v>3185</v>
      </c>
      <c r="D90">
        <v>5694</v>
      </c>
      <c r="F90" s="9">
        <f t="shared" si="21"/>
        <v>1988</v>
      </c>
      <c r="G90" s="1">
        <f t="shared" si="21"/>
        <v>2650229</v>
      </c>
      <c r="H90" s="1">
        <f t="shared" si="21"/>
        <v>125790</v>
      </c>
      <c r="I90" s="1">
        <f t="shared" si="21"/>
        <v>2776019</v>
      </c>
      <c r="K90" s="9">
        <f t="shared" si="24"/>
        <v>1988</v>
      </c>
      <c r="L90" s="1">
        <f t="shared" si="25"/>
        <v>94.6710642740684</v>
      </c>
      <c r="M90" s="1">
        <f t="shared" si="22"/>
        <v>2531.997774067891</v>
      </c>
      <c r="N90" s="1">
        <f t="shared" si="23"/>
        <v>205.11386989786453</v>
      </c>
    </row>
    <row r="91" spans="1:14" ht="12.75">
      <c r="A91" s="9">
        <v>1989</v>
      </c>
      <c r="B91">
        <v>613</v>
      </c>
      <c r="C91">
        <v>564</v>
      </c>
      <c r="D91">
        <v>1177</v>
      </c>
      <c r="F91" s="9">
        <f t="shared" si="21"/>
        <v>1989</v>
      </c>
      <c r="G91" s="1">
        <f t="shared" si="21"/>
        <v>2653612</v>
      </c>
      <c r="H91" s="1">
        <f t="shared" si="21"/>
        <v>127183</v>
      </c>
      <c r="I91" s="1">
        <f t="shared" si="21"/>
        <v>2780795</v>
      </c>
      <c r="K91" s="9">
        <f t="shared" si="24"/>
        <v>1989</v>
      </c>
      <c r="L91" s="1">
        <f t="shared" si="25"/>
        <v>23.1005889331221</v>
      </c>
      <c r="M91" s="1">
        <f t="shared" si="22"/>
        <v>443.4554932656094</v>
      </c>
      <c r="N91" s="1">
        <f t="shared" si="23"/>
        <v>42.326025471133256</v>
      </c>
    </row>
    <row r="92" spans="1:14" ht="12.75">
      <c r="A92" s="9">
        <v>1990</v>
      </c>
      <c r="B92">
        <v>615</v>
      </c>
      <c r="C92">
        <v>612</v>
      </c>
      <c r="D92">
        <v>1227</v>
      </c>
      <c r="F92" s="9">
        <f t="shared" si="21"/>
        <v>1990</v>
      </c>
      <c r="G92" s="1">
        <f t="shared" si="21"/>
        <v>2666442</v>
      </c>
      <c r="H92" s="1">
        <f t="shared" si="21"/>
        <v>129089</v>
      </c>
      <c r="I92" s="1">
        <f t="shared" si="21"/>
        <v>2795531</v>
      </c>
      <c r="K92" s="9">
        <f t="shared" si="24"/>
        <v>1990</v>
      </c>
      <c r="L92" s="1">
        <f t="shared" si="25"/>
        <v>23.06444317933786</v>
      </c>
      <c r="M92" s="1">
        <f t="shared" si="22"/>
        <v>474.0915182548475</v>
      </c>
      <c r="N92" s="1">
        <f t="shared" si="23"/>
        <v>43.89148251262461</v>
      </c>
    </row>
    <row r="93" spans="1:14" ht="12.75">
      <c r="A93" s="9">
        <v>1991</v>
      </c>
      <c r="B93">
        <v>618</v>
      </c>
      <c r="C93">
        <v>508</v>
      </c>
      <c r="D93">
        <v>1126</v>
      </c>
      <c r="F93" s="9">
        <f t="shared" si="21"/>
        <v>1991</v>
      </c>
      <c r="G93" s="1">
        <f t="shared" si="21"/>
        <v>2711730</v>
      </c>
      <c r="H93" s="1">
        <f t="shared" si="21"/>
        <v>132939</v>
      </c>
      <c r="I93" s="1">
        <f t="shared" si="21"/>
        <v>2844669</v>
      </c>
      <c r="K93" s="9">
        <f t="shared" si="24"/>
        <v>1991</v>
      </c>
      <c r="L93" s="1">
        <f t="shared" si="25"/>
        <v>22.78987952340388</v>
      </c>
      <c r="M93" s="1">
        <f t="shared" si="22"/>
        <v>382.1301499183836</v>
      </c>
      <c r="N93" s="1">
        <f t="shared" si="23"/>
        <v>39.582812622487886</v>
      </c>
    </row>
    <row r="94" spans="1:14" ht="12.75">
      <c r="A94" s="9">
        <v>1992</v>
      </c>
      <c r="B94">
        <v>598</v>
      </c>
      <c r="C94">
        <v>567</v>
      </c>
      <c r="D94">
        <v>1165</v>
      </c>
      <c r="F94" s="9">
        <f t="shared" si="21"/>
        <v>1992</v>
      </c>
      <c r="G94" s="1">
        <f t="shared" si="21"/>
        <v>2779309</v>
      </c>
      <c r="H94" s="1">
        <f t="shared" si="21"/>
        <v>136991</v>
      </c>
      <c r="I94" s="1">
        <f t="shared" si="21"/>
        <v>2916300</v>
      </c>
      <c r="K94" s="9">
        <f t="shared" si="24"/>
        <v>1992</v>
      </c>
      <c r="L94" s="1">
        <f t="shared" si="25"/>
        <v>21.51613944329328</v>
      </c>
      <c r="M94" s="1">
        <f t="shared" si="22"/>
        <v>413.89580337394426</v>
      </c>
      <c r="N94" s="1">
        <f t="shared" si="23"/>
        <v>39.94787916195179</v>
      </c>
    </row>
    <row r="95" spans="1:14" ht="12.75">
      <c r="A95" s="9">
        <v>1993</v>
      </c>
      <c r="B95">
        <v>581</v>
      </c>
      <c r="C95">
        <v>500</v>
      </c>
      <c r="D95">
        <v>1081</v>
      </c>
      <c r="F95" s="9">
        <f t="shared" si="21"/>
        <v>1993</v>
      </c>
      <c r="G95" s="1">
        <f t="shared" si="21"/>
        <v>2851608</v>
      </c>
      <c r="H95" s="1">
        <f t="shared" si="21"/>
        <v>141047</v>
      </c>
      <c r="I95" s="1">
        <f t="shared" si="21"/>
        <v>2992655</v>
      </c>
      <c r="K95" s="9">
        <f t="shared" si="24"/>
        <v>1993</v>
      </c>
      <c r="L95" s="1">
        <f t="shared" si="25"/>
        <v>20.37446942216462</v>
      </c>
      <c r="M95" s="1">
        <f t="shared" si="22"/>
        <v>354.4917651562954</v>
      </c>
      <c r="N95" s="1">
        <f t="shared" si="23"/>
        <v>36.121771470483566</v>
      </c>
    </row>
    <row r="96" spans="1:14" ht="12.75">
      <c r="A96" s="9">
        <v>1994</v>
      </c>
      <c r="B96">
        <v>591</v>
      </c>
      <c r="C96">
        <v>497</v>
      </c>
      <c r="D96">
        <v>1088</v>
      </c>
      <c r="F96" s="9">
        <f t="shared" si="21"/>
        <v>1994</v>
      </c>
      <c r="G96" s="1">
        <f t="shared" si="21"/>
        <v>2919546</v>
      </c>
      <c r="H96" s="1">
        <f t="shared" si="21"/>
        <v>144157</v>
      </c>
      <c r="I96" s="1">
        <f t="shared" si="21"/>
        <v>3063703</v>
      </c>
      <c r="K96" s="9">
        <f t="shared" si="24"/>
        <v>1994</v>
      </c>
      <c r="L96" s="1">
        <f t="shared" si="25"/>
        <v>20.24287337825813</v>
      </c>
      <c r="M96" s="1">
        <f t="shared" si="22"/>
        <v>344.7630014498082</v>
      </c>
      <c r="N96" s="1">
        <f t="shared" si="23"/>
        <v>35.51258069075234</v>
      </c>
    </row>
    <row r="97" spans="1:14" ht="12.75">
      <c r="A97" s="9">
        <v>1995</v>
      </c>
      <c r="B97">
        <v>718</v>
      </c>
      <c r="C97">
        <v>610</v>
      </c>
      <c r="D97">
        <v>1328</v>
      </c>
      <c r="F97" s="9">
        <f t="shared" si="21"/>
        <v>1995</v>
      </c>
      <c r="G97" s="1">
        <f t="shared" si="21"/>
        <v>2977692</v>
      </c>
      <c r="H97" s="1">
        <f t="shared" si="21"/>
        <v>146048</v>
      </c>
      <c r="I97" s="1">
        <f t="shared" si="21"/>
        <v>3123740</v>
      </c>
      <c r="K97" s="9">
        <f t="shared" si="24"/>
        <v>1995</v>
      </c>
      <c r="L97" s="1">
        <f t="shared" si="25"/>
        <v>24.112634886348218</v>
      </c>
      <c r="M97" s="1">
        <f t="shared" si="22"/>
        <v>417.67090271691495</v>
      </c>
      <c r="N97" s="1">
        <f t="shared" si="23"/>
        <v>42.51314129857159</v>
      </c>
    </row>
    <row r="98" spans="1:14" ht="12.75">
      <c r="A98" s="9">
        <v>1996</v>
      </c>
      <c r="B98">
        <v>409</v>
      </c>
      <c r="C98">
        <v>349</v>
      </c>
      <c r="D98">
        <v>758</v>
      </c>
      <c r="F98" s="9">
        <f t="shared" si="21"/>
        <v>1996</v>
      </c>
      <c r="G98" s="1">
        <f t="shared" si="21"/>
        <v>3026511</v>
      </c>
      <c r="H98" s="1">
        <f t="shared" si="21"/>
        <v>148233</v>
      </c>
      <c r="I98" s="1">
        <f t="shared" si="21"/>
        <v>3174744</v>
      </c>
      <c r="K98" s="9">
        <f t="shared" si="24"/>
        <v>1996</v>
      </c>
      <c r="L98" s="1">
        <f t="shared" si="25"/>
        <v>13.513910902686295</v>
      </c>
      <c r="M98" s="1">
        <f t="shared" si="22"/>
        <v>235.44015165314065</v>
      </c>
      <c r="N98" s="1">
        <f t="shared" si="23"/>
        <v>23.875940863263306</v>
      </c>
    </row>
    <row r="99" spans="1:14" ht="12.75">
      <c r="A99" s="9">
        <v>1997</v>
      </c>
      <c r="B99">
        <v>0</v>
      </c>
      <c r="C99">
        <v>0</v>
      </c>
      <c r="D99">
        <v>0</v>
      </c>
      <c r="F99" s="9">
        <f t="shared" si="21"/>
        <v>1997</v>
      </c>
      <c r="G99" s="1">
        <f t="shared" si="21"/>
        <v>3075558</v>
      </c>
      <c r="H99" s="1">
        <f t="shared" si="21"/>
        <v>150906</v>
      </c>
      <c r="I99" s="1">
        <f t="shared" si="21"/>
        <v>3226464</v>
      </c>
      <c r="K99" s="9">
        <f t="shared" si="24"/>
        <v>1997</v>
      </c>
      <c r="L99" s="1"/>
      <c r="M99" s="1"/>
      <c r="N99" s="1"/>
    </row>
    <row r="100" spans="1:14" ht="12.75">
      <c r="A100" s="9">
        <v>1998</v>
      </c>
      <c r="B100">
        <v>408</v>
      </c>
      <c r="C100">
        <v>356</v>
      </c>
      <c r="D100">
        <v>764</v>
      </c>
      <c r="F100" s="9">
        <f aca="true" t="shared" si="26" ref="F100:I101">F19</f>
        <v>1998</v>
      </c>
      <c r="G100" s="1">
        <f t="shared" si="26"/>
        <v>3122879</v>
      </c>
      <c r="H100" s="1">
        <f t="shared" si="26"/>
        <v>154615</v>
      </c>
      <c r="I100" s="1">
        <f t="shared" si="26"/>
        <v>3277494</v>
      </c>
      <c r="K100" s="9">
        <f t="shared" si="24"/>
        <v>1998</v>
      </c>
      <c r="L100" s="1">
        <f t="shared" si="25"/>
        <v>13.064867386792763</v>
      </c>
      <c r="M100" s="1">
        <f t="shared" si="22"/>
        <v>230.2493289784303</v>
      </c>
      <c r="N100" s="1">
        <f t="shared" si="23"/>
        <v>23.310492711809694</v>
      </c>
    </row>
    <row r="101" spans="1:14" ht="12.75">
      <c r="A101" s="9">
        <v>1999</v>
      </c>
      <c r="B101">
        <v>590</v>
      </c>
      <c r="C101">
        <v>533</v>
      </c>
      <c r="D101">
        <v>1123</v>
      </c>
      <c r="F101" s="9">
        <f t="shared" si="26"/>
        <v>1999</v>
      </c>
      <c r="G101" s="1">
        <f t="shared" si="26"/>
        <v>3177332</v>
      </c>
      <c r="H101" s="1">
        <f t="shared" si="26"/>
        <v>157578</v>
      </c>
      <c r="I101" s="1">
        <f t="shared" si="26"/>
        <v>3334910</v>
      </c>
      <c r="K101" s="9">
        <f t="shared" si="24"/>
        <v>1999</v>
      </c>
      <c r="L101" s="1">
        <f t="shared" si="25"/>
        <v>18.56903842594982</v>
      </c>
      <c r="M101" s="1">
        <f t="shared" si="22"/>
        <v>338.24518651080734</v>
      </c>
      <c r="N101" s="1">
        <f t="shared" si="23"/>
        <v>33.67407216386649</v>
      </c>
    </row>
    <row r="103" spans="1:14" ht="31.5" customHeight="1">
      <c r="A103" s="33" t="str">
        <f>CONCATENATE("New Admissions for All Offenses, BW Only: ",$A$1)</f>
        <v>New Admissions for All Offenses, BW Only: GEORGIA</v>
      </c>
      <c r="B103" s="33"/>
      <c r="C103" s="33"/>
      <c r="D103" s="33"/>
      <c r="F103" s="33" t="str">
        <f>CONCATENATE("Total Population, BW Only: ",$A$1)</f>
        <v>Total Population, BW Only: GEORGIA</v>
      </c>
      <c r="G103" s="33"/>
      <c r="H103" s="33"/>
      <c r="I103" s="33"/>
      <c r="K103" s="33" t="str">
        <f>CONCATENATE("New Admissions for All Offenses, BW Only, Per 100,000: ",$A$1)</f>
        <v>New Admissions for All Offenses, BW Only, Per 100,000: GEORGIA</v>
      </c>
      <c r="L103" s="33"/>
      <c r="M103" s="33"/>
      <c r="N103" s="33"/>
    </row>
    <row r="104" spans="1:14" ht="12.75">
      <c r="A104" s="24" t="s">
        <v>25</v>
      </c>
      <c r="B104" s="25" t="s">
        <v>11</v>
      </c>
      <c r="C104" s="25" t="s">
        <v>12</v>
      </c>
      <c r="D104" s="25" t="s">
        <v>13</v>
      </c>
      <c r="F104" s="24" t="s">
        <v>25</v>
      </c>
      <c r="G104" s="25" t="s">
        <v>11</v>
      </c>
      <c r="H104" s="25" t="s">
        <v>12</v>
      </c>
      <c r="I104" s="25" t="s">
        <v>13</v>
      </c>
      <c r="K104" s="24" t="s">
        <v>25</v>
      </c>
      <c r="L104" s="25" t="s">
        <v>11</v>
      </c>
      <c r="M104" s="25" t="s">
        <v>12</v>
      </c>
      <c r="N104" s="25" t="s">
        <v>13</v>
      </c>
    </row>
    <row r="105" spans="1:14" ht="12.75">
      <c r="A105" s="9">
        <v>1983</v>
      </c>
      <c r="B105">
        <v>2675</v>
      </c>
      <c r="C105">
        <v>3382</v>
      </c>
      <c r="D105">
        <v>6057</v>
      </c>
      <c r="E105" s="2"/>
      <c r="F105" s="9">
        <f>F4</f>
        <v>1983</v>
      </c>
      <c r="G105" s="1">
        <f>G4</f>
        <v>2581691</v>
      </c>
      <c r="H105" s="1">
        <f>H4</f>
        <v>114105</v>
      </c>
      <c r="I105" s="1">
        <f>I4</f>
        <v>2695796</v>
      </c>
      <c r="K105" s="9">
        <f>F105</f>
        <v>1983</v>
      </c>
      <c r="L105" s="1">
        <f>(B105/G105)*100000</f>
        <v>103.61425902635133</v>
      </c>
      <c r="M105" s="1">
        <f aca="true" t="shared" si="27" ref="M105:M121">(C105/H105)*100000</f>
        <v>2963.936724946321</v>
      </c>
      <c r="N105" s="1">
        <f aca="true" t="shared" si="28" ref="N105:N121">(D105/I105)*100000</f>
        <v>224.68317335584737</v>
      </c>
    </row>
    <row r="106" spans="1:14" ht="12.75">
      <c r="A106" s="9">
        <v>1984</v>
      </c>
      <c r="B106">
        <v>3022</v>
      </c>
      <c r="C106">
        <v>3818</v>
      </c>
      <c r="D106">
        <v>6840</v>
      </c>
      <c r="F106" s="9">
        <f aca="true" t="shared" si="29" ref="F106:I121">F5</f>
        <v>1984</v>
      </c>
      <c r="G106" s="1">
        <f t="shared" si="29"/>
        <v>2604945</v>
      </c>
      <c r="H106" s="1">
        <f t="shared" si="29"/>
        <v>116754</v>
      </c>
      <c r="I106" s="1">
        <f t="shared" si="29"/>
        <v>2721699</v>
      </c>
      <c r="K106" s="9">
        <f aca="true" t="shared" si="30" ref="K106:K121">F106</f>
        <v>1984</v>
      </c>
      <c r="L106" s="1">
        <f aca="true" t="shared" si="31" ref="L106:L121">(B106/G106)*100000</f>
        <v>116.01012689327413</v>
      </c>
      <c r="M106" s="1">
        <f t="shared" si="27"/>
        <v>3270.1235075457803</v>
      </c>
      <c r="N106" s="1">
        <f t="shared" si="28"/>
        <v>251.31360962398855</v>
      </c>
    </row>
    <row r="107" spans="1:14" ht="12.75">
      <c r="A107" s="9">
        <v>1985</v>
      </c>
      <c r="B107">
        <v>0</v>
      </c>
      <c r="C107">
        <v>0</v>
      </c>
      <c r="D107">
        <v>0</v>
      </c>
      <c r="F107" s="9">
        <f t="shared" si="29"/>
        <v>1985</v>
      </c>
      <c r="G107" s="1">
        <f t="shared" si="29"/>
        <v>2629537</v>
      </c>
      <c r="H107" s="1">
        <f t="shared" si="29"/>
        <v>120330</v>
      </c>
      <c r="I107" s="1">
        <f t="shared" si="29"/>
        <v>2749867</v>
      </c>
      <c r="K107" s="9">
        <f t="shared" si="30"/>
        <v>1985</v>
      </c>
      <c r="L107" s="1"/>
      <c r="M107" s="1"/>
      <c r="N107" s="1"/>
    </row>
    <row r="108" spans="1:14" ht="12.75">
      <c r="A108" s="9">
        <v>1986</v>
      </c>
      <c r="B108">
        <v>0</v>
      </c>
      <c r="C108">
        <v>0</v>
      </c>
      <c r="D108">
        <v>0</v>
      </c>
      <c r="F108" s="9">
        <f t="shared" si="29"/>
        <v>1986</v>
      </c>
      <c r="G108" s="1">
        <f t="shared" si="29"/>
        <v>2646030</v>
      </c>
      <c r="H108" s="1">
        <f t="shared" si="29"/>
        <v>122893</v>
      </c>
      <c r="I108" s="1">
        <f t="shared" si="29"/>
        <v>2768923</v>
      </c>
      <c r="K108" s="9">
        <f t="shared" si="30"/>
        <v>1986</v>
      </c>
      <c r="L108" s="1"/>
      <c r="M108" s="1"/>
      <c r="N108" s="1"/>
    </row>
    <row r="109" spans="1:14" ht="12.75">
      <c r="A109" s="9">
        <v>1987</v>
      </c>
      <c r="B109">
        <v>3578</v>
      </c>
      <c r="C109">
        <v>5089</v>
      </c>
      <c r="D109">
        <v>8667</v>
      </c>
      <c r="F109" s="9">
        <f t="shared" si="29"/>
        <v>1987</v>
      </c>
      <c r="G109" s="1">
        <f t="shared" si="29"/>
        <v>2656720</v>
      </c>
      <c r="H109" s="1">
        <f t="shared" si="29"/>
        <v>125103</v>
      </c>
      <c r="I109" s="1">
        <f t="shared" si="29"/>
        <v>2781823</v>
      </c>
      <c r="K109" s="9">
        <f t="shared" si="30"/>
        <v>1987</v>
      </c>
      <c r="L109" s="1">
        <f t="shared" si="31"/>
        <v>134.67734650245416</v>
      </c>
      <c r="M109" s="1">
        <f t="shared" si="27"/>
        <v>4067.8480931712265</v>
      </c>
      <c r="N109" s="1">
        <f t="shared" si="28"/>
        <v>311.55828390231875</v>
      </c>
    </row>
    <row r="110" spans="1:14" ht="12.75">
      <c r="A110" s="9">
        <v>1988</v>
      </c>
      <c r="B110">
        <v>5930</v>
      </c>
      <c r="C110">
        <v>9867</v>
      </c>
      <c r="D110">
        <v>15797</v>
      </c>
      <c r="F110" s="9">
        <f t="shared" si="29"/>
        <v>1988</v>
      </c>
      <c r="G110" s="1">
        <f t="shared" si="29"/>
        <v>2650229</v>
      </c>
      <c r="H110" s="1">
        <f t="shared" si="29"/>
        <v>125790</v>
      </c>
      <c r="I110" s="1">
        <f t="shared" si="29"/>
        <v>2776019</v>
      </c>
      <c r="K110" s="9">
        <f t="shared" si="30"/>
        <v>1988</v>
      </c>
      <c r="L110" s="1">
        <f t="shared" si="31"/>
        <v>223.75424916111024</v>
      </c>
      <c r="M110" s="1">
        <f t="shared" si="27"/>
        <v>7844.0257572144055</v>
      </c>
      <c r="N110" s="1">
        <f t="shared" si="28"/>
        <v>569.0523011549993</v>
      </c>
    </row>
    <row r="111" spans="1:14" ht="12.75">
      <c r="A111" s="9">
        <v>1989</v>
      </c>
      <c r="B111">
        <v>3078</v>
      </c>
      <c r="C111">
        <v>5927</v>
      </c>
      <c r="D111">
        <v>9005</v>
      </c>
      <c r="F111" s="9">
        <f t="shared" si="29"/>
        <v>1989</v>
      </c>
      <c r="G111" s="1">
        <f t="shared" si="29"/>
        <v>2653612</v>
      </c>
      <c r="H111" s="1">
        <f t="shared" si="29"/>
        <v>127183</v>
      </c>
      <c r="I111" s="1">
        <f t="shared" si="29"/>
        <v>2780795</v>
      </c>
      <c r="K111" s="9">
        <f t="shared" si="30"/>
        <v>1989</v>
      </c>
      <c r="L111" s="1">
        <f t="shared" si="31"/>
        <v>115.99284296272403</v>
      </c>
      <c r="M111" s="1">
        <f t="shared" si="27"/>
        <v>4660.214022314303</v>
      </c>
      <c r="N111" s="1">
        <f t="shared" si="28"/>
        <v>323.82825774643584</v>
      </c>
    </row>
    <row r="112" spans="1:14" ht="12.75">
      <c r="A112" s="9">
        <v>1990</v>
      </c>
      <c r="B112">
        <v>3094</v>
      </c>
      <c r="C112">
        <v>6278</v>
      </c>
      <c r="D112">
        <v>9372</v>
      </c>
      <c r="F112" s="9">
        <f t="shared" si="29"/>
        <v>1990</v>
      </c>
      <c r="G112" s="1">
        <f t="shared" si="29"/>
        <v>2666442</v>
      </c>
      <c r="H112" s="1">
        <f t="shared" si="29"/>
        <v>129089</v>
      </c>
      <c r="I112" s="1">
        <f t="shared" si="29"/>
        <v>2795531</v>
      </c>
      <c r="K112" s="9">
        <f t="shared" si="30"/>
        <v>1990</v>
      </c>
      <c r="L112" s="1">
        <f t="shared" si="31"/>
        <v>116.03477592987208</v>
      </c>
      <c r="M112" s="1">
        <f t="shared" si="27"/>
        <v>4863.311358829955</v>
      </c>
      <c r="N112" s="1">
        <f t="shared" si="28"/>
        <v>335.2493676514408</v>
      </c>
    </row>
    <row r="113" spans="1:14" ht="12.75">
      <c r="A113" s="9">
        <v>1991</v>
      </c>
      <c r="B113">
        <v>2693</v>
      </c>
      <c r="C113">
        <v>5427</v>
      </c>
      <c r="D113">
        <v>8120</v>
      </c>
      <c r="F113" s="9">
        <f t="shared" si="29"/>
        <v>1991</v>
      </c>
      <c r="G113" s="1">
        <f t="shared" si="29"/>
        <v>2711730</v>
      </c>
      <c r="H113" s="1">
        <f t="shared" si="29"/>
        <v>132939</v>
      </c>
      <c r="I113" s="1">
        <f t="shared" si="29"/>
        <v>2844669</v>
      </c>
      <c r="K113" s="9">
        <f t="shared" si="30"/>
        <v>1991</v>
      </c>
      <c r="L113" s="1">
        <f t="shared" si="31"/>
        <v>99.30929701703342</v>
      </c>
      <c r="M113" s="1">
        <f t="shared" si="27"/>
        <v>4082.3234716674565</v>
      </c>
      <c r="N113" s="1">
        <f t="shared" si="28"/>
        <v>285.4462153593265</v>
      </c>
    </row>
    <row r="114" spans="1:14" ht="12.75">
      <c r="A114" s="9">
        <v>1992</v>
      </c>
      <c r="B114">
        <v>2688</v>
      </c>
      <c r="C114">
        <v>5381</v>
      </c>
      <c r="D114">
        <v>8069</v>
      </c>
      <c r="F114" s="9">
        <f t="shared" si="29"/>
        <v>1992</v>
      </c>
      <c r="G114" s="1">
        <f t="shared" si="29"/>
        <v>2779309</v>
      </c>
      <c r="H114" s="1">
        <f t="shared" si="29"/>
        <v>136991</v>
      </c>
      <c r="I114" s="1">
        <f t="shared" si="29"/>
        <v>2916300</v>
      </c>
      <c r="K114" s="9">
        <f t="shared" si="30"/>
        <v>1992</v>
      </c>
      <c r="L114" s="1">
        <f t="shared" si="31"/>
        <v>96.71468699594035</v>
      </c>
      <c r="M114" s="1">
        <f t="shared" si="27"/>
        <v>3927.9952697622475</v>
      </c>
      <c r="N114" s="1">
        <f t="shared" si="28"/>
        <v>276.68621198093473</v>
      </c>
    </row>
    <row r="115" spans="1:14" ht="12.75">
      <c r="A115" s="9">
        <v>1993</v>
      </c>
      <c r="B115">
        <v>2446</v>
      </c>
      <c r="C115">
        <v>5035</v>
      </c>
      <c r="D115">
        <v>7481</v>
      </c>
      <c r="F115" s="9">
        <f t="shared" si="29"/>
        <v>1993</v>
      </c>
      <c r="G115" s="1">
        <f t="shared" si="29"/>
        <v>2851608</v>
      </c>
      <c r="H115" s="1">
        <f t="shared" si="29"/>
        <v>141047</v>
      </c>
      <c r="I115" s="1">
        <f t="shared" si="29"/>
        <v>2992655</v>
      </c>
      <c r="K115" s="9">
        <f t="shared" si="30"/>
        <v>1993</v>
      </c>
      <c r="L115" s="1">
        <f t="shared" si="31"/>
        <v>85.77616558797703</v>
      </c>
      <c r="M115" s="1">
        <f t="shared" si="27"/>
        <v>3569.732075123895</v>
      </c>
      <c r="N115" s="1">
        <f t="shared" si="28"/>
        <v>249.97869784522442</v>
      </c>
    </row>
    <row r="116" spans="1:14" ht="12.75">
      <c r="A116" s="9">
        <v>1994</v>
      </c>
      <c r="B116">
        <v>2616</v>
      </c>
      <c r="C116">
        <v>5059</v>
      </c>
      <c r="D116">
        <v>7675</v>
      </c>
      <c r="F116" s="9">
        <f t="shared" si="29"/>
        <v>1994</v>
      </c>
      <c r="G116" s="1">
        <f t="shared" si="29"/>
        <v>2919546</v>
      </c>
      <c r="H116" s="1">
        <f t="shared" si="29"/>
        <v>144157</v>
      </c>
      <c r="I116" s="1">
        <f t="shared" si="29"/>
        <v>3063703</v>
      </c>
      <c r="K116" s="9">
        <f t="shared" si="30"/>
        <v>1994</v>
      </c>
      <c r="L116" s="1">
        <f t="shared" si="31"/>
        <v>89.60297251695984</v>
      </c>
      <c r="M116" s="1">
        <f t="shared" si="27"/>
        <v>3509.3682582184706</v>
      </c>
      <c r="N116" s="1">
        <f t="shared" si="28"/>
        <v>250.51383897198914</v>
      </c>
    </row>
    <row r="117" spans="1:14" ht="12.75">
      <c r="A117" s="9">
        <v>1995</v>
      </c>
      <c r="B117">
        <v>2768</v>
      </c>
      <c r="C117">
        <v>5488</v>
      </c>
      <c r="D117">
        <v>8256</v>
      </c>
      <c r="F117" s="9">
        <f t="shared" si="29"/>
        <v>1995</v>
      </c>
      <c r="G117" s="1">
        <f t="shared" si="29"/>
        <v>2977692</v>
      </c>
      <c r="H117" s="1">
        <f t="shared" si="29"/>
        <v>146048</v>
      </c>
      <c r="I117" s="1">
        <f t="shared" si="29"/>
        <v>3123740</v>
      </c>
      <c r="K117" s="9">
        <f t="shared" si="30"/>
        <v>1995</v>
      </c>
      <c r="L117" s="1">
        <f t="shared" si="31"/>
        <v>92.95790162313631</v>
      </c>
      <c r="M117" s="1">
        <f t="shared" si="27"/>
        <v>3757.6687116564417</v>
      </c>
      <c r="N117" s="1">
        <f t="shared" si="28"/>
        <v>264.2985651814812</v>
      </c>
    </row>
    <row r="118" spans="1:14" ht="12.75">
      <c r="A118" s="9">
        <v>1996</v>
      </c>
      <c r="B118">
        <v>2139</v>
      </c>
      <c r="C118">
        <v>3789</v>
      </c>
      <c r="D118">
        <v>5928</v>
      </c>
      <c r="F118" s="9">
        <f t="shared" si="29"/>
        <v>1996</v>
      </c>
      <c r="G118" s="1">
        <f t="shared" si="29"/>
        <v>3026511</v>
      </c>
      <c r="H118" s="1">
        <f t="shared" si="29"/>
        <v>148233</v>
      </c>
      <c r="I118" s="1">
        <f t="shared" si="29"/>
        <v>3174744</v>
      </c>
      <c r="K118" s="9">
        <f t="shared" si="30"/>
        <v>1996</v>
      </c>
      <c r="L118" s="1">
        <f t="shared" si="31"/>
        <v>70.6754411267628</v>
      </c>
      <c r="M118" s="1">
        <f t="shared" si="27"/>
        <v>2556.110987431948</v>
      </c>
      <c r="N118" s="1">
        <f t="shared" si="28"/>
        <v>186.7237169359167</v>
      </c>
    </row>
    <row r="119" spans="1:14" ht="12.75">
      <c r="A119" s="9">
        <v>1997</v>
      </c>
      <c r="B119">
        <v>0</v>
      </c>
      <c r="C119">
        <v>0</v>
      </c>
      <c r="D119">
        <v>0</v>
      </c>
      <c r="F119" s="9">
        <f t="shared" si="29"/>
        <v>1997</v>
      </c>
      <c r="G119" s="1">
        <f t="shared" si="29"/>
        <v>3075558</v>
      </c>
      <c r="H119" s="1">
        <f t="shared" si="29"/>
        <v>150906</v>
      </c>
      <c r="I119" s="1">
        <f t="shared" si="29"/>
        <v>3226464</v>
      </c>
      <c r="K119" s="9">
        <f t="shared" si="30"/>
        <v>1997</v>
      </c>
      <c r="L119" s="1"/>
      <c r="M119" s="1"/>
      <c r="N119" s="1"/>
    </row>
    <row r="120" spans="1:14" ht="12.75">
      <c r="A120" s="9">
        <v>1998</v>
      </c>
      <c r="B120">
        <v>2251</v>
      </c>
      <c r="C120">
        <v>3678</v>
      </c>
      <c r="D120">
        <v>5929</v>
      </c>
      <c r="F120" s="9">
        <f t="shared" si="29"/>
        <v>1998</v>
      </c>
      <c r="G120" s="1">
        <f t="shared" si="29"/>
        <v>3122879</v>
      </c>
      <c r="H120" s="1">
        <f t="shared" si="29"/>
        <v>154615</v>
      </c>
      <c r="I120" s="1">
        <f t="shared" si="29"/>
        <v>3277494</v>
      </c>
      <c r="K120" s="9">
        <f t="shared" si="30"/>
        <v>1998</v>
      </c>
      <c r="L120" s="1">
        <f t="shared" si="31"/>
        <v>72.08092276389831</v>
      </c>
      <c r="M120" s="1">
        <f t="shared" si="27"/>
        <v>2378.8118875917603</v>
      </c>
      <c r="N120" s="1">
        <f t="shared" si="28"/>
        <v>180.90040744544459</v>
      </c>
    </row>
    <row r="121" spans="1:14" ht="12.75">
      <c r="A121" s="9">
        <v>1999</v>
      </c>
      <c r="B121">
        <v>3009</v>
      </c>
      <c r="C121">
        <v>5224</v>
      </c>
      <c r="D121">
        <v>8233</v>
      </c>
      <c r="F121" s="9">
        <f t="shared" si="29"/>
        <v>1999</v>
      </c>
      <c r="G121" s="1">
        <f t="shared" si="29"/>
        <v>3177332</v>
      </c>
      <c r="H121" s="1">
        <f t="shared" si="29"/>
        <v>157578</v>
      </c>
      <c r="I121" s="1">
        <f t="shared" si="29"/>
        <v>3334910</v>
      </c>
      <c r="K121" s="9">
        <f t="shared" si="30"/>
        <v>1999</v>
      </c>
      <c r="L121" s="1">
        <f t="shared" si="31"/>
        <v>94.7020959723441</v>
      </c>
      <c r="M121" s="1">
        <f t="shared" si="27"/>
        <v>3315.183591618119</v>
      </c>
      <c r="N121" s="1">
        <f t="shared" si="28"/>
        <v>246.87322896270064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showZeros="0" zoomScale="50" zoomScaleNormal="50" workbookViewId="0" topLeftCell="A88">
      <selection activeCell="B50" sqref="B50:F59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37</v>
      </c>
      <c r="B1" s="32" t="s">
        <v>3</v>
      </c>
      <c r="C1" s="32"/>
      <c r="D1" s="32"/>
      <c r="E1" s="32"/>
      <c r="F1" s="32"/>
      <c r="G1" s="32"/>
      <c r="J1" s="32" t="s">
        <v>3</v>
      </c>
      <c r="K1" s="32"/>
      <c r="L1" s="32"/>
      <c r="M1" s="32"/>
      <c r="N1" s="32"/>
      <c r="O1" s="32"/>
      <c r="R1" s="32" t="s">
        <v>3</v>
      </c>
      <c r="S1" s="32"/>
      <c r="T1" s="32"/>
      <c r="U1" s="32"/>
      <c r="V1" s="32"/>
      <c r="W1" s="32"/>
      <c r="Z1" s="32" t="s">
        <v>3</v>
      </c>
      <c r="AA1" s="32"/>
      <c r="AB1" s="32"/>
      <c r="AC1" s="32"/>
      <c r="AD1" s="32"/>
      <c r="AE1" s="32"/>
      <c r="AH1" s="32" t="s">
        <v>3</v>
      </c>
      <c r="AI1" s="32"/>
      <c r="AJ1" s="32"/>
      <c r="AK1" s="32"/>
      <c r="AL1" s="32"/>
      <c r="AM1" s="32"/>
      <c r="AP1" s="32" t="s">
        <v>3</v>
      </c>
      <c r="AQ1" s="32"/>
      <c r="AR1" s="32"/>
      <c r="AS1" s="32"/>
      <c r="AT1" s="32"/>
      <c r="AU1" s="32"/>
    </row>
    <row r="2" spans="2:47" ht="12.75">
      <c r="B2" s="32" t="str">
        <f>CONCATENATE("White, Non-Hispanics:  ",$A$1)</f>
        <v>White, Non-Hispanics:  GEORGIA</v>
      </c>
      <c r="C2" s="32"/>
      <c r="D2" s="32"/>
      <c r="E2" s="32"/>
      <c r="F2" s="32"/>
      <c r="G2" s="32"/>
      <c r="J2" s="32" t="str">
        <f>CONCATENATE("Black, Non-Hispanics:  ",$A$1)</f>
        <v>Black, Non-Hispanics:  GEORGIA</v>
      </c>
      <c r="K2" s="32"/>
      <c r="L2" s="32"/>
      <c r="M2" s="32"/>
      <c r="N2" s="32"/>
      <c r="O2" s="32"/>
      <c r="R2" s="32" t="str">
        <f>CONCATENATE("American Indian, Non-Hispanics:  ",$A$1)</f>
        <v>American Indian, Non-Hispanics:  GEORGIA</v>
      </c>
      <c r="S2" s="32"/>
      <c r="T2" s="32"/>
      <c r="U2" s="32"/>
      <c r="V2" s="32"/>
      <c r="W2" s="32"/>
      <c r="Z2" s="32" t="str">
        <f>CONCATENATE("Asian / Pacific Islanders, Non-Hispanics:  ",$A$1)</f>
        <v>Asian / Pacific Islanders, Non-Hispanics:  GEORGIA</v>
      </c>
      <c r="AA2" s="32"/>
      <c r="AB2" s="32"/>
      <c r="AC2" s="32"/>
      <c r="AD2" s="32"/>
      <c r="AE2" s="32"/>
      <c r="AH2" s="32" t="str">
        <f>CONCATENATE("Hispanics:  ",$A$1)</f>
        <v>Hispanics:  GEORGIA</v>
      </c>
      <c r="AI2" s="32"/>
      <c r="AJ2" s="32"/>
      <c r="AK2" s="32"/>
      <c r="AL2" s="32"/>
      <c r="AM2" s="32"/>
      <c r="AP2" s="32" t="str">
        <f>CONCATENATE("Other Race / Not Known:  ",$A$1)</f>
        <v>Other Race / Not Known:  GEORGIA</v>
      </c>
      <c r="AQ2" s="32"/>
      <c r="AR2" s="32"/>
      <c r="AS2" s="32"/>
      <c r="AT2" s="32"/>
      <c r="AU2" s="32"/>
    </row>
    <row r="3" spans="1:47" ht="12.75">
      <c r="A3" s="4" t="s">
        <v>7</v>
      </c>
      <c r="B3" s="12" t="s">
        <v>0</v>
      </c>
      <c r="C3" s="12" t="s">
        <v>5</v>
      </c>
      <c r="D3" s="12" t="s">
        <v>6</v>
      </c>
      <c r="E3" s="12" t="s">
        <v>1</v>
      </c>
      <c r="F3" s="12" t="s">
        <v>4</v>
      </c>
      <c r="G3" s="12" t="s">
        <v>13</v>
      </c>
      <c r="I3" s="4" t="s">
        <v>24</v>
      </c>
      <c r="J3" s="12" t="s">
        <v>0</v>
      </c>
      <c r="K3" s="12" t="s">
        <v>5</v>
      </c>
      <c r="L3" s="12" t="s">
        <v>6</v>
      </c>
      <c r="M3" s="12" t="s">
        <v>1</v>
      </c>
      <c r="N3" s="12" t="s">
        <v>4</v>
      </c>
      <c r="O3" s="12" t="s">
        <v>13</v>
      </c>
      <c r="Q3" s="4" t="s">
        <v>24</v>
      </c>
      <c r="R3" s="12" t="s">
        <v>0</v>
      </c>
      <c r="S3" s="12" t="s">
        <v>5</v>
      </c>
      <c r="T3" s="12" t="s">
        <v>6</v>
      </c>
      <c r="U3" s="12" t="s">
        <v>1</v>
      </c>
      <c r="V3" s="12" t="s">
        <v>4</v>
      </c>
      <c r="W3" s="12" t="s">
        <v>13</v>
      </c>
      <c r="Y3" s="4" t="s">
        <v>24</v>
      </c>
      <c r="Z3" s="12" t="s">
        <v>0</v>
      </c>
      <c r="AA3" s="12" t="s">
        <v>5</v>
      </c>
      <c r="AB3" s="12" t="s">
        <v>6</v>
      </c>
      <c r="AC3" s="12" t="s">
        <v>1</v>
      </c>
      <c r="AD3" s="12" t="s">
        <v>4</v>
      </c>
      <c r="AE3" s="12" t="s">
        <v>13</v>
      </c>
      <c r="AG3" s="4" t="s">
        <v>24</v>
      </c>
      <c r="AH3" s="12" t="s">
        <v>0</v>
      </c>
      <c r="AI3" s="12" t="s">
        <v>5</v>
      </c>
      <c r="AJ3" s="12" t="s">
        <v>6</v>
      </c>
      <c r="AK3" s="12" t="s">
        <v>1</v>
      </c>
      <c r="AL3" s="12" t="s">
        <v>4</v>
      </c>
      <c r="AM3" s="12" t="s">
        <v>13</v>
      </c>
      <c r="AO3" s="4" t="s">
        <v>24</v>
      </c>
      <c r="AP3" s="12" t="s">
        <v>0</v>
      </c>
      <c r="AQ3" s="12" t="s">
        <v>5</v>
      </c>
      <c r="AR3" s="12" t="s">
        <v>6</v>
      </c>
      <c r="AS3" s="12" t="s">
        <v>1</v>
      </c>
      <c r="AT3" s="12" t="s">
        <v>4</v>
      </c>
      <c r="AU3" s="12" t="s">
        <v>13</v>
      </c>
    </row>
    <row r="4" spans="1:41" ht="12.75">
      <c r="A4" s="4">
        <v>1983</v>
      </c>
      <c r="B4">
        <v>494</v>
      </c>
      <c r="C4">
        <v>982</v>
      </c>
      <c r="D4">
        <v>419</v>
      </c>
      <c r="E4">
        <v>391</v>
      </c>
      <c r="F4">
        <v>389</v>
      </c>
      <c r="G4">
        <f>SUM(B4:F4)</f>
        <v>2675</v>
      </c>
      <c r="I4" s="4">
        <v>1983</v>
      </c>
      <c r="J4">
        <v>695</v>
      </c>
      <c r="K4" s="2">
        <v>1539</v>
      </c>
      <c r="L4">
        <v>533</v>
      </c>
      <c r="M4">
        <v>339</v>
      </c>
      <c r="N4">
        <v>276</v>
      </c>
      <c r="O4">
        <f>SUM(J4:N4)</f>
        <v>3382</v>
      </c>
      <c r="Q4" s="4">
        <v>1983</v>
      </c>
      <c r="W4">
        <f>SUM(R4:V4)</f>
        <v>0</v>
      </c>
      <c r="Y4" s="4">
        <v>1983</v>
      </c>
      <c r="AE4">
        <f>SUM(Z4:AD4)</f>
        <v>0</v>
      </c>
      <c r="AG4" s="4">
        <v>1983</v>
      </c>
      <c r="AM4">
        <f>SUM(AH4:AL4)</f>
        <v>0</v>
      </c>
      <c r="AO4" s="4">
        <v>1983</v>
      </c>
    </row>
    <row r="5" spans="1:41" ht="12.75">
      <c r="A5" s="4">
        <v>1984</v>
      </c>
      <c r="B5">
        <v>499</v>
      </c>
      <c r="C5">
        <v>792</v>
      </c>
      <c r="D5">
        <v>475</v>
      </c>
      <c r="E5">
        <v>501</v>
      </c>
      <c r="F5">
        <v>755</v>
      </c>
      <c r="G5">
        <f aca="true" t="shared" si="0" ref="G5:G20">SUM(B5:F5)</f>
        <v>3022</v>
      </c>
      <c r="I5" s="4">
        <v>1984</v>
      </c>
      <c r="J5">
        <v>733</v>
      </c>
      <c r="K5" s="2">
        <v>1267</v>
      </c>
      <c r="L5">
        <v>693</v>
      </c>
      <c r="M5">
        <v>546</v>
      </c>
      <c r="N5">
        <v>579</v>
      </c>
      <c r="O5">
        <f aca="true" t="shared" si="1" ref="O5:O20">SUM(J5:N5)</f>
        <v>3818</v>
      </c>
      <c r="Q5" s="4">
        <v>1984</v>
      </c>
      <c r="W5">
        <f aca="true" t="shared" si="2" ref="W5:W20">SUM(R5:V5)</f>
        <v>0</v>
      </c>
      <c r="Y5" s="4">
        <v>1984</v>
      </c>
      <c r="AE5">
        <f aca="true" t="shared" si="3" ref="AE5:AE20">SUM(Z5:AD5)</f>
        <v>0</v>
      </c>
      <c r="AG5" s="4">
        <v>1984</v>
      </c>
      <c r="AI5">
        <v>1</v>
      </c>
      <c r="AL5">
        <v>1</v>
      </c>
      <c r="AM5">
        <f aca="true" t="shared" si="4" ref="AM5:AM20">SUM(AH5:AL5)</f>
        <v>2</v>
      </c>
      <c r="AO5" s="4">
        <v>1984</v>
      </c>
    </row>
    <row r="6" spans="1:41" ht="12.75">
      <c r="A6" s="4">
        <v>1985</v>
      </c>
      <c r="G6">
        <f t="shared" si="0"/>
        <v>0</v>
      </c>
      <c r="I6" s="4">
        <v>1985</v>
      </c>
      <c r="K6" s="2"/>
      <c r="Q6" s="4">
        <v>1985</v>
      </c>
      <c r="W6">
        <f t="shared" si="2"/>
        <v>0</v>
      </c>
      <c r="Y6" s="4">
        <v>1985</v>
      </c>
      <c r="AE6">
        <f t="shared" si="3"/>
        <v>0</v>
      </c>
      <c r="AG6" s="4">
        <v>1985</v>
      </c>
      <c r="AM6">
        <f t="shared" si="4"/>
        <v>0</v>
      </c>
      <c r="AO6" s="4">
        <v>1985</v>
      </c>
    </row>
    <row r="7" spans="1:41" ht="12.75">
      <c r="A7" s="4">
        <v>1986</v>
      </c>
      <c r="G7">
        <f t="shared" si="0"/>
        <v>0</v>
      </c>
      <c r="I7" s="4">
        <v>1986</v>
      </c>
      <c r="K7" s="2"/>
      <c r="Q7" s="4">
        <v>1986</v>
      </c>
      <c r="W7">
        <f t="shared" si="2"/>
        <v>0</v>
      </c>
      <c r="Y7" s="4">
        <v>1986</v>
      </c>
      <c r="AE7">
        <f t="shared" si="3"/>
        <v>0</v>
      </c>
      <c r="AG7" s="4">
        <v>1986</v>
      </c>
      <c r="AM7">
        <f t="shared" si="4"/>
        <v>0</v>
      </c>
      <c r="AO7" s="4">
        <v>1986</v>
      </c>
    </row>
    <row r="8" spans="1:41" ht="12.75">
      <c r="A8" s="4">
        <v>1987</v>
      </c>
      <c r="B8">
        <v>128</v>
      </c>
      <c r="F8" s="2">
        <v>3450</v>
      </c>
      <c r="G8">
        <f t="shared" si="0"/>
        <v>3578</v>
      </c>
      <c r="I8" s="4">
        <v>1987</v>
      </c>
      <c r="J8">
        <v>250</v>
      </c>
      <c r="N8" s="2">
        <v>4839</v>
      </c>
      <c r="O8">
        <f t="shared" si="1"/>
        <v>5089</v>
      </c>
      <c r="Q8" s="4">
        <v>1987</v>
      </c>
      <c r="W8">
        <f t="shared" si="2"/>
        <v>0</v>
      </c>
      <c r="Y8" s="4">
        <v>1987</v>
      </c>
      <c r="AE8">
        <f t="shared" si="3"/>
        <v>0</v>
      </c>
      <c r="AG8" s="4">
        <v>1987</v>
      </c>
      <c r="AM8">
        <f t="shared" si="4"/>
        <v>0</v>
      </c>
      <c r="AO8" s="4">
        <v>1987</v>
      </c>
    </row>
    <row r="9" spans="1:41" ht="12.75">
      <c r="A9" s="4">
        <v>1988</v>
      </c>
      <c r="B9">
        <v>789</v>
      </c>
      <c r="C9" s="2">
        <v>1213</v>
      </c>
      <c r="D9">
        <v>588</v>
      </c>
      <c r="E9">
        <v>831</v>
      </c>
      <c r="F9" s="2">
        <v>2509</v>
      </c>
      <c r="G9">
        <f t="shared" si="0"/>
        <v>5930</v>
      </c>
      <c r="I9" s="4">
        <v>1988</v>
      </c>
      <c r="J9" s="2">
        <v>1291</v>
      </c>
      <c r="K9" s="2">
        <v>2247</v>
      </c>
      <c r="L9" s="2">
        <v>1008</v>
      </c>
      <c r="M9" s="2">
        <v>2136</v>
      </c>
      <c r="N9" s="2">
        <v>3185</v>
      </c>
      <c r="O9">
        <f t="shared" si="1"/>
        <v>9867</v>
      </c>
      <c r="Q9" s="4">
        <v>1988</v>
      </c>
      <c r="S9">
        <v>1</v>
      </c>
      <c r="V9">
        <v>1</v>
      </c>
      <c r="W9">
        <f t="shared" si="2"/>
        <v>2</v>
      </c>
      <c r="Y9" s="4">
        <v>1988</v>
      </c>
      <c r="AE9">
        <f t="shared" si="3"/>
        <v>0</v>
      </c>
      <c r="AG9" s="4">
        <v>1988</v>
      </c>
      <c r="AH9">
        <v>30</v>
      </c>
      <c r="AI9">
        <v>18</v>
      </c>
      <c r="AJ9">
        <v>8</v>
      </c>
      <c r="AK9">
        <v>72</v>
      </c>
      <c r="AL9">
        <v>36</v>
      </c>
      <c r="AM9">
        <f t="shared" si="4"/>
        <v>164</v>
      </c>
      <c r="AO9" s="4">
        <v>1988</v>
      </c>
    </row>
    <row r="10" spans="1:41" ht="12.75">
      <c r="A10" s="4">
        <v>1989</v>
      </c>
      <c r="B10">
        <v>717</v>
      </c>
      <c r="C10">
        <v>747</v>
      </c>
      <c r="D10">
        <v>364</v>
      </c>
      <c r="E10">
        <v>637</v>
      </c>
      <c r="F10">
        <v>613</v>
      </c>
      <c r="G10">
        <f t="shared" si="0"/>
        <v>3078</v>
      </c>
      <c r="I10" s="4">
        <v>1989</v>
      </c>
      <c r="J10" s="2">
        <v>1012</v>
      </c>
      <c r="K10" s="2">
        <v>1689</v>
      </c>
      <c r="L10">
        <v>557</v>
      </c>
      <c r="M10" s="2">
        <v>2105</v>
      </c>
      <c r="N10">
        <v>564</v>
      </c>
      <c r="O10">
        <f t="shared" si="1"/>
        <v>5927</v>
      </c>
      <c r="Q10" s="4">
        <v>1989</v>
      </c>
      <c r="R10">
        <v>3</v>
      </c>
      <c r="S10">
        <v>1</v>
      </c>
      <c r="U10">
        <v>1</v>
      </c>
      <c r="V10">
        <v>1</v>
      </c>
      <c r="W10">
        <f t="shared" si="2"/>
        <v>6</v>
      </c>
      <c r="Y10" s="4">
        <v>1989</v>
      </c>
      <c r="Z10">
        <v>1</v>
      </c>
      <c r="AA10">
        <v>1</v>
      </c>
      <c r="AC10">
        <v>1</v>
      </c>
      <c r="AE10">
        <f t="shared" si="3"/>
        <v>3</v>
      </c>
      <c r="AG10" s="4">
        <v>1989</v>
      </c>
      <c r="AH10">
        <v>18</v>
      </c>
      <c r="AI10">
        <v>9</v>
      </c>
      <c r="AJ10">
        <v>6</v>
      </c>
      <c r="AK10">
        <v>57</v>
      </c>
      <c r="AL10">
        <v>6</v>
      </c>
      <c r="AM10">
        <f t="shared" si="4"/>
        <v>96</v>
      </c>
      <c r="AO10" s="4">
        <v>1989</v>
      </c>
    </row>
    <row r="11" spans="1:41" ht="12.75">
      <c r="A11" s="4">
        <v>1990</v>
      </c>
      <c r="B11">
        <v>708</v>
      </c>
      <c r="C11">
        <v>749</v>
      </c>
      <c r="D11">
        <v>400</v>
      </c>
      <c r="E11">
        <v>622</v>
      </c>
      <c r="F11">
        <v>615</v>
      </c>
      <c r="G11">
        <f t="shared" si="0"/>
        <v>3094</v>
      </c>
      <c r="I11" s="4">
        <v>1990</v>
      </c>
      <c r="J11" s="2">
        <v>1022</v>
      </c>
      <c r="K11" s="2">
        <v>1569</v>
      </c>
      <c r="L11">
        <v>631</v>
      </c>
      <c r="M11" s="2">
        <v>2444</v>
      </c>
      <c r="N11">
        <v>612</v>
      </c>
      <c r="O11">
        <f t="shared" si="1"/>
        <v>6278</v>
      </c>
      <c r="Q11" s="4">
        <v>1990</v>
      </c>
      <c r="S11">
        <v>1</v>
      </c>
      <c r="U11">
        <v>1</v>
      </c>
      <c r="V11">
        <v>1</v>
      </c>
      <c r="W11">
        <f t="shared" si="2"/>
        <v>3</v>
      </c>
      <c r="Y11" s="4">
        <v>1990</v>
      </c>
      <c r="Z11">
        <v>1</v>
      </c>
      <c r="AA11">
        <v>1</v>
      </c>
      <c r="AE11">
        <f t="shared" si="3"/>
        <v>2</v>
      </c>
      <c r="AG11" s="4">
        <v>1990</v>
      </c>
      <c r="AH11">
        <v>11</v>
      </c>
      <c r="AI11">
        <v>12</v>
      </c>
      <c r="AJ11">
        <v>6</v>
      </c>
      <c r="AK11">
        <v>31</v>
      </c>
      <c r="AL11">
        <v>7</v>
      </c>
      <c r="AM11">
        <f t="shared" si="4"/>
        <v>67</v>
      </c>
      <c r="AO11" s="4">
        <v>1990</v>
      </c>
    </row>
    <row r="12" spans="1:41" ht="12.75">
      <c r="A12" s="4">
        <v>1991</v>
      </c>
      <c r="B12">
        <v>613</v>
      </c>
      <c r="C12">
        <v>578</v>
      </c>
      <c r="D12">
        <v>370</v>
      </c>
      <c r="E12">
        <v>514</v>
      </c>
      <c r="F12">
        <v>618</v>
      </c>
      <c r="G12">
        <f t="shared" si="0"/>
        <v>2693</v>
      </c>
      <c r="I12" s="4">
        <v>1991</v>
      </c>
      <c r="J12" s="2">
        <v>1002</v>
      </c>
      <c r="K12" s="2">
        <v>1322</v>
      </c>
      <c r="L12">
        <v>577</v>
      </c>
      <c r="M12" s="2">
        <v>2018</v>
      </c>
      <c r="N12">
        <v>508</v>
      </c>
      <c r="O12">
        <f t="shared" si="1"/>
        <v>5427</v>
      </c>
      <c r="Q12" s="4">
        <v>1991</v>
      </c>
      <c r="R12">
        <v>1</v>
      </c>
      <c r="S12">
        <v>1</v>
      </c>
      <c r="U12">
        <v>1</v>
      </c>
      <c r="V12">
        <v>1</v>
      </c>
      <c r="W12">
        <f t="shared" si="2"/>
        <v>4</v>
      </c>
      <c r="Y12" s="4">
        <v>1991</v>
      </c>
      <c r="AA12">
        <v>1</v>
      </c>
      <c r="AE12">
        <f t="shared" si="3"/>
        <v>1</v>
      </c>
      <c r="AG12" s="4">
        <v>1991</v>
      </c>
      <c r="AH12">
        <v>15</v>
      </c>
      <c r="AI12">
        <v>10</v>
      </c>
      <c r="AJ12">
        <v>2</v>
      </c>
      <c r="AK12">
        <v>14</v>
      </c>
      <c r="AL12">
        <v>8</v>
      </c>
      <c r="AM12">
        <f t="shared" si="4"/>
        <v>49</v>
      </c>
      <c r="AO12" s="4">
        <v>1991</v>
      </c>
    </row>
    <row r="13" spans="1:41" ht="12.75">
      <c r="A13" s="4">
        <v>1992</v>
      </c>
      <c r="B13">
        <v>676</v>
      </c>
      <c r="C13">
        <v>603</v>
      </c>
      <c r="D13">
        <v>361</v>
      </c>
      <c r="E13">
        <v>450</v>
      </c>
      <c r="F13">
        <v>598</v>
      </c>
      <c r="G13">
        <f t="shared" si="0"/>
        <v>2688</v>
      </c>
      <c r="I13" s="4">
        <v>1992</v>
      </c>
      <c r="J13" s="2">
        <v>1036</v>
      </c>
      <c r="K13" s="2">
        <v>1246</v>
      </c>
      <c r="L13">
        <v>615</v>
      </c>
      <c r="M13" s="2">
        <v>1917</v>
      </c>
      <c r="N13">
        <v>567</v>
      </c>
      <c r="O13">
        <f t="shared" si="1"/>
        <v>5381</v>
      </c>
      <c r="Q13" s="4">
        <v>1992</v>
      </c>
      <c r="R13">
        <v>3</v>
      </c>
      <c r="S13">
        <v>4</v>
      </c>
      <c r="T13">
        <v>2</v>
      </c>
      <c r="U13">
        <v>4</v>
      </c>
      <c r="V13">
        <v>1</v>
      </c>
      <c r="W13">
        <f t="shared" si="2"/>
        <v>14</v>
      </c>
      <c r="Y13" s="4">
        <v>1992</v>
      </c>
      <c r="Z13">
        <v>3</v>
      </c>
      <c r="AA13">
        <v>4</v>
      </c>
      <c r="AB13">
        <v>1</v>
      </c>
      <c r="AC13">
        <v>1</v>
      </c>
      <c r="AD13">
        <v>1</v>
      </c>
      <c r="AE13">
        <f t="shared" si="3"/>
        <v>10</v>
      </c>
      <c r="AG13" s="4">
        <v>1992</v>
      </c>
      <c r="AM13">
        <f t="shared" si="4"/>
        <v>0</v>
      </c>
      <c r="AO13" s="4">
        <v>1992</v>
      </c>
    </row>
    <row r="14" spans="1:41" ht="12.75">
      <c r="A14" s="4">
        <v>1993</v>
      </c>
      <c r="B14">
        <v>642</v>
      </c>
      <c r="C14">
        <v>500</v>
      </c>
      <c r="D14">
        <v>338</v>
      </c>
      <c r="E14">
        <v>385</v>
      </c>
      <c r="F14">
        <v>581</v>
      </c>
      <c r="G14">
        <f t="shared" si="0"/>
        <v>2446</v>
      </c>
      <c r="I14" s="4">
        <v>1993</v>
      </c>
      <c r="J14" s="2">
        <v>1020</v>
      </c>
      <c r="K14" s="2">
        <v>1312</v>
      </c>
      <c r="L14">
        <v>555</v>
      </c>
      <c r="M14" s="2">
        <v>1648</v>
      </c>
      <c r="N14">
        <v>500</v>
      </c>
      <c r="O14">
        <f t="shared" si="1"/>
        <v>5035</v>
      </c>
      <c r="Q14" s="4">
        <v>1993</v>
      </c>
      <c r="R14">
        <v>3</v>
      </c>
      <c r="S14">
        <v>1</v>
      </c>
      <c r="U14">
        <v>4</v>
      </c>
      <c r="W14">
        <f t="shared" si="2"/>
        <v>8</v>
      </c>
      <c r="Y14" s="4">
        <v>1993</v>
      </c>
      <c r="Z14">
        <v>7</v>
      </c>
      <c r="AA14">
        <v>2</v>
      </c>
      <c r="AD14">
        <v>4</v>
      </c>
      <c r="AE14">
        <f t="shared" si="3"/>
        <v>13</v>
      </c>
      <c r="AG14" s="4">
        <v>1993</v>
      </c>
      <c r="AH14">
        <v>24</v>
      </c>
      <c r="AI14">
        <v>10</v>
      </c>
      <c r="AJ14">
        <v>2</v>
      </c>
      <c r="AK14">
        <v>34</v>
      </c>
      <c r="AL14">
        <v>6</v>
      </c>
      <c r="AM14">
        <f t="shared" si="4"/>
        <v>76</v>
      </c>
      <c r="AO14" s="4">
        <v>1993</v>
      </c>
    </row>
    <row r="15" spans="1:41" ht="12.75">
      <c r="A15" s="4">
        <v>1994</v>
      </c>
      <c r="B15">
        <v>673</v>
      </c>
      <c r="C15">
        <v>548</v>
      </c>
      <c r="D15">
        <v>371</v>
      </c>
      <c r="E15">
        <v>433</v>
      </c>
      <c r="F15">
        <v>591</v>
      </c>
      <c r="G15">
        <f t="shared" si="0"/>
        <v>2616</v>
      </c>
      <c r="I15" s="4">
        <v>1994</v>
      </c>
      <c r="J15">
        <v>991</v>
      </c>
      <c r="K15" s="2">
        <v>1215</v>
      </c>
      <c r="L15">
        <v>620</v>
      </c>
      <c r="M15" s="2">
        <v>1736</v>
      </c>
      <c r="N15">
        <v>497</v>
      </c>
      <c r="O15">
        <f t="shared" si="1"/>
        <v>5059</v>
      </c>
      <c r="Q15" s="4">
        <v>1994</v>
      </c>
      <c r="R15">
        <v>7</v>
      </c>
      <c r="S15">
        <v>1</v>
      </c>
      <c r="U15">
        <v>3</v>
      </c>
      <c r="W15">
        <f t="shared" si="2"/>
        <v>11</v>
      </c>
      <c r="Y15" s="4">
        <v>1994</v>
      </c>
      <c r="Z15">
        <v>5</v>
      </c>
      <c r="AA15">
        <v>2</v>
      </c>
      <c r="AB15">
        <v>1</v>
      </c>
      <c r="AE15">
        <f t="shared" si="3"/>
        <v>8</v>
      </c>
      <c r="AG15" s="4">
        <v>1994</v>
      </c>
      <c r="AH15">
        <v>18</v>
      </c>
      <c r="AI15">
        <v>18</v>
      </c>
      <c r="AJ15">
        <v>7</v>
      </c>
      <c r="AK15">
        <v>46</v>
      </c>
      <c r="AL15">
        <v>12</v>
      </c>
      <c r="AM15">
        <f t="shared" si="4"/>
        <v>101</v>
      </c>
      <c r="AO15" s="4">
        <v>1994</v>
      </c>
    </row>
    <row r="16" spans="1:41" ht="12.75">
      <c r="A16" s="4">
        <v>1995</v>
      </c>
      <c r="B16">
        <v>645</v>
      </c>
      <c r="C16">
        <v>507</v>
      </c>
      <c r="D16">
        <v>388</v>
      </c>
      <c r="E16">
        <v>510</v>
      </c>
      <c r="F16">
        <v>718</v>
      </c>
      <c r="G16">
        <f t="shared" si="0"/>
        <v>2768</v>
      </c>
      <c r="I16" s="4">
        <v>1995</v>
      </c>
      <c r="J16" s="2">
        <v>1047</v>
      </c>
      <c r="K16" s="2">
        <v>1181</v>
      </c>
      <c r="L16">
        <v>764</v>
      </c>
      <c r="M16" s="2">
        <v>1886</v>
      </c>
      <c r="N16">
        <v>610</v>
      </c>
      <c r="O16">
        <f t="shared" si="1"/>
        <v>5488</v>
      </c>
      <c r="Q16" s="4">
        <v>1995</v>
      </c>
      <c r="R16">
        <v>5</v>
      </c>
      <c r="S16">
        <v>1</v>
      </c>
      <c r="T16">
        <v>6</v>
      </c>
      <c r="U16">
        <v>4</v>
      </c>
      <c r="V16">
        <v>6</v>
      </c>
      <c r="W16">
        <f t="shared" si="2"/>
        <v>22</v>
      </c>
      <c r="Y16" s="4">
        <v>1995</v>
      </c>
      <c r="Z16">
        <v>2</v>
      </c>
      <c r="AE16">
        <f t="shared" si="3"/>
        <v>2</v>
      </c>
      <c r="AG16" s="4">
        <v>1995</v>
      </c>
      <c r="AH16">
        <v>21</v>
      </c>
      <c r="AI16">
        <v>12</v>
      </c>
      <c r="AJ16">
        <v>3</v>
      </c>
      <c r="AK16">
        <v>21</v>
      </c>
      <c r="AL16">
        <v>9</v>
      </c>
      <c r="AM16">
        <f t="shared" si="4"/>
        <v>66</v>
      </c>
      <c r="AO16" s="4">
        <v>1995</v>
      </c>
    </row>
    <row r="17" spans="1:41" ht="12.75">
      <c r="A17" s="4">
        <v>1996</v>
      </c>
      <c r="B17">
        <v>544</v>
      </c>
      <c r="C17">
        <v>465</v>
      </c>
      <c r="D17">
        <v>321</v>
      </c>
      <c r="E17">
        <v>400</v>
      </c>
      <c r="F17">
        <v>409</v>
      </c>
      <c r="G17">
        <f t="shared" si="0"/>
        <v>2139</v>
      </c>
      <c r="I17" s="4">
        <v>1996</v>
      </c>
      <c r="J17">
        <v>893</v>
      </c>
      <c r="K17">
        <v>845</v>
      </c>
      <c r="L17">
        <v>424</v>
      </c>
      <c r="M17" s="2">
        <v>1278</v>
      </c>
      <c r="N17">
        <v>349</v>
      </c>
      <c r="O17">
        <f t="shared" si="1"/>
        <v>3789</v>
      </c>
      <c r="Q17" s="4">
        <v>1996</v>
      </c>
      <c r="R17">
        <v>2</v>
      </c>
      <c r="S17">
        <v>5</v>
      </c>
      <c r="U17">
        <v>4</v>
      </c>
      <c r="V17">
        <v>2</v>
      </c>
      <c r="W17">
        <f t="shared" si="2"/>
        <v>13</v>
      </c>
      <c r="Y17" s="4">
        <v>1996</v>
      </c>
      <c r="Z17">
        <v>6</v>
      </c>
      <c r="AA17">
        <v>4</v>
      </c>
      <c r="AC17">
        <v>1</v>
      </c>
      <c r="AD17">
        <v>1</v>
      </c>
      <c r="AE17">
        <f t="shared" si="3"/>
        <v>12</v>
      </c>
      <c r="AG17" s="4">
        <v>1996</v>
      </c>
      <c r="AH17">
        <v>14</v>
      </c>
      <c r="AI17">
        <v>3</v>
      </c>
      <c r="AJ17">
        <v>8</v>
      </c>
      <c r="AK17">
        <v>40</v>
      </c>
      <c r="AL17">
        <v>16</v>
      </c>
      <c r="AM17">
        <f t="shared" si="4"/>
        <v>81</v>
      </c>
      <c r="AO17" s="4">
        <v>1996</v>
      </c>
    </row>
    <row r="18" spans="1:41" ht="12.75">
      <c r="A18" s="4">
        <v>1997</v>
      </c>
      <c r="G18">
        <f t="shared" si="0"/>
        <v>0</v>
      </c>
      <c r="I18" s="4">
        <v>1997</v>
      </c>
      <c r="M18" s="2"/>
      <c r="O18">
        <f t="shared" si="1"/>
        <v>0</v>
      </c>
      <c r="Q18" s="4">
        <v>1997</v>
      </c>
      <c r="W18">
        <f t="shared" si="2"/>
        <v>0</v>
      </c>
      <c r="Y18" s="4">
        <v>1997</v>
      </c>
      <c r="AE18">
        <f t="shared" si="3"/>
        <v>0</v>
      </c>
      <c r="AG18" s="4">
        <v>1997</v>
      </c>
      <c r="AM18">
        <f t="shared" si="4"/>
        <v>0</v>
      </c>
      <c r="AO18" s="4">
        <v>1997</v>
      </c>
    </row>
    <row r="19" spans="1:41" ht="12.75">
      <c r="A19" s="4">
        <v>1998</v>
      </c>
      <c r="B19">
        <v>570</v>
      </c>
      <c r="C19">
        <v>495</v>
      </c>
      <c r="D19">
        <v>331</v>
      </c>
      <c r="E19">
        <v>447</v>
      </c>
      <c r="F19">
        <v>408</v>
      </c>
      <c r="G19">
        <f t="shared" si="0"/>
        <v>2251</v>
      </c>
      <c r="I19" s="4">
        <v>1998</v>
      </c>
      <c r="J19">
        <v>816</v>
      </c>
      <c r="K19">
        <v>786</v>
      </c>
      <c r="L19">
        <v>546</v>
      </c>
      <c r="M19" s="2">
        <v>1174</v>
      </c>
      <c r="N19">
        <v>356</v>
      </c>
      <c r="O19">
        <f t="shared" si="1"/>
        <v>3678</v>
      </c>
      <c r="Q19" s="4">
        <v>1998</v>
      </c>
      <c r="R19">
        <v>10</v>
      </c>
      <c r="S19">
        <v>2</v>
      </c>
      <c r="T19">
        <v>2</v>
      </c>
      <c r="U19">
        <v>3</v>
      </c>
      <c r="V19">
        <v>3</v>
      </c>
      <c r="W19">
        <f t="shared" si="2"/>
        <v>20</v>
      </c>
      <c r="Y19" s="4">
        <v>1998</v>
      </c>
      <c r="Z19">
        <v>4</v>
      </c>
      <c r="AB19">
        <v>3</v>
      </c>
      <c r="AC19">
        <v>1</v>
      </c>
      <c r="AE19">
        <f t="shared" si="3"/>
        <v>8</v>
      </c>
      <c r="AG19" s="4">
        <v>1998</v>
      </c>
      <c r="AH19">
        <v>34</v>
      </c>
      <c r="AI19">
        <v>18</v>
      </c>
      <c r="AJ19">
        <v>4</v>
      </c>
      <c r="AK19">
        <v>45</v>
      </c>
      <c r="AL19">
        <v>8</v>
      </c>
      <c r="AM19">
        <f t="shared" si="4"/>
        <v>109</v>
      </c>
      <c r="AO19" s="4">
        <v>1998</v>
      </c>
    </row>
    <row r="20" spans="1:41" ht="12.75">
      <c r="A20" s="4">
        <v>1999</v>
      </c>
      <c r="B20">
        <v>726</v>
      </c>
      <c r="C20">
        <v>572</v>
      </c>
      <c r="D20">
        <v>501</v>
      </c>
      <c r="E20">
        <v>620</v>
      </c>
      <c r="F20">
        <v>590</v>
      </c>
      <c r="G20">
        <f t="shared" si="0"/>
        <v>3009</v>
      </c>
      <c r="I20" s="4">
        <v>1999</v>
      </c>
      <c r="J20" s="2">
        <v>1041</v>
      </c>
      <c r="K20" s="2">
        <v>1015</v>
      </c>
      <c r="L20">
        <v>763</v>
      </c>
      <c r="M20" s="2">
        <v>1872</v>
      </c>
      <c r="N20">
        <v>533</v>
      </c>
      <c r="O20">
        <f t="shared" si="1"/>
        <v>5224</v>
      </c>
      <c r="Q20" s="4">
        <v>1999</v>
      </c>
      <c r="R20">
        <v>2</v>
      </c>
      <c r="S20">
        <v>1</v>
      </c>
      <c r="T20">
        <v>1</v>
      </c>
      <c r="U20">
        <v>2</v>
      </c>
      <c r="V20">
        <v>2</v>
      </c>
      <c r="W20">
        <f t="shared" si="2"/>
        <v>8</v>
      </c>
      <c r="Y20" s="4">
        <v>1999</v>
      </c>
      <c r="Z20">
        <v>7</v>
      </c>
      <c r="AA20">
        <v>2</v>
      </c>
      <c r="AB20">
        <v>1</v>
      </c>
      <c r="AD20">
        <v>3</v>
      </c>
      <c r="AE20">
        <f t="shared" si="3"/>
        <v>13</v>
      </c>
      <c r="AG20" s="4">
        <v>1999</v>
      </c>
      <c r="AH20">
        <v>52</v>
      </c>
      <c r="AI20">
        <v>10</v>
      </c>
      <c r="AJ20">
        <v>11</v>
      </c>
      <c r="AK20">
        <v>117</v>
      </c>
      <c r="AL20">
        <v>20</v>
      </c>
      <c r="AM20">
        <f t="shared" si="4"/>
        <v>210</v>
      </c>
      <c r="AO20" s="4">
        <v>1999</v>
      </c>
    </row>
    <row r="21" spans="1:41" ht="12.75">
      <c r="A21" s="4" t="s">
        <v>13</v>
      </c>
      <c r="B21" s="2">
        <f>SUM(B4:B20)</f>
        <v>8424</v>
      </c>
      <c r="C21" s="2">
        <f>SUM(C4:C20)</f>
        <v>8751</v>
      </c>
      <c r="D21" s="2">
        <f>SUM(D4:D20)</f>
        <v>5227</v>
      </c>
      <c r="E21" s="2">
        <f>SUM(E4:E20)</f>
        <v>6741</v>
      </c>
      <c r="F21" s="2">
        <f>SUM(F4:F20)</f>
        <v>12844</v>
      </c>
      <c r="G21">
        <f>SUM(B21:F21)</f>
        <v>41987</v>
      </c>
      <c r="I21" s="4" t="s">
        <v>13</v>
      </c>
      <c r="J21" s="2">
        <f>SUM(J4:J20)</f>
        <v>12849</v>
      </c>
      <c r="K21" s="2">
        <f>SUM(K4:K20)</f>
        <v>17233</v>
      </c>
      <c r="L21" s="2">
        <f>SUM(L4:L20)</f>
        <v>8286</v>
      </c>
      <c r="M21" s="2">
        <f>SUM(M4:M20)</f>
        <v>21099</v>
      </c>
      <c r="N21" s="2">
        <f>SUM(N4:N20)</f>
        <v>13975</v>
      </c>
      <c r="O21">
        <f>SUM(J21:N21)</f>
        <v>73442</v>
      </c>
      <c r="Q21" s="4" t="s">
        <v>13</v>
      </c>
      <c r="R21" s="2">
        <f>SUM(R4:R20)</f>
        <v>36</v>
      </c>
      <c r="S21" s="2">
        <f>SUM(S4:S20)</f>
        <v>19</v>
      </c>
      <c r="T21" s="2">
        <f>SUM(T4:T20)</f>
        <v>11</v>
      </c>
      <c r="U21" s="2">
        <f>SUM(U4:U20)</f>
        <v>27</v>
      </c>
      <c r="V21" s="2">
        <f>SUM(V4:V20)</f>
        <v>18</v>
      </c>
      <c r="W21">
        <f>SUM(R21:V21)</f>
        <v>111</v>
      </c>
      <c r="Y21" s="4" t="s">
        <v>13</v>
      </c>
      <c r="Z21" s="2">
        <f>SUM(Z4:Z20)</f>
        <v>36</v>
      </c>
      <c r="AA21" s="2">
        <f>SUM(AA4:AA20)</f>
        <v>17</v>
      </c>
      <c r="AB21" s="2">
        <f>SUM(AB4:AB20)</f>
        <v>6</v>
      </c>
      <c r="AC21" s="2">
        <f>SUM(AC4:AC20)</f>
        <v>4</v>
      </c>
      <c r="AD21" s="2">
        <f>SUM(AD4:AD20)</f>
        <v>9</v>
      </c>
      <c r="AE21">
        <f>SUM(Z21:AD21)</f>
        <v>72</v>
      </c>
      <c r="AG21" s="4" t="s">
        <v>13</v>
      </c>
      <c r="AH21" s="2">
        <f>SUM(AH4:AH20)</f>
        <v>237</v>
      </c>
      <c r="AI21" s="2">
        <f>SUM(AI4:AI20)</f>
        <v>121</v>
      </c>
      <c r="AJ21" s="2">
        <f>SUM(AJ4:AJ20)</f>
        <v>57</v>
      </c>
      <c r="AK21" s="2">
        <f>SUM(AK4:AK20)</f>
        <v>477</v>
      </c>
      <c r="AL21" s="2">
        <f>SUM(AL4:AL20)</f>
        <v>129</v>
      </c>
      <c r="AM21">
        <f>SUM(AH21:AL21)</f>
        <v>1021</v>
      </c>
      <c r="AO21" s="4" t="s">
        <v>13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11</v>
      </c>
      <c r="I23" s="4" t="s">
        <v>12</v>
      </c>
      <c r="Q23" s="4" t="s">
        <v>28</v>
      </c>
      <c r="Y23" s="4" t="s">
        <v>29</v>
      </c>
      <c r="AG23" s="4" t="s">
        <v>26</v>
      </c>
      <c r="AO23" s="4" t="s">
        <v>27</v>
      </c>
    </row>
    <row r="24" spans="1:47" ht="12.75">
      <c r="A24" s="4" t="s">
        <v>21</v>
      </c>
      <c r="B24" s="12" t="s">
        <v>0</v>
      </c>
      <c r="C24" s="12" t="s">
        <v>5</v>
      </c>
      <c r="D24" s="12" t="s">
        <v>6</v>
      </c>
      <c r="E24" s="12" t="s">
        <v>1</v>
      </c>
      <c r="F24" s="12" t="s">
        <v>4</v>
      </c>
      <c r="G24" s="12" t="s">
        <v>13</v>
      </c>
      <c r="I24" s="4" t="s">
        <v>21</v>
      </c>
      <c r="J24" s="12" t="s">
        <v>0</v>
      </c>
      <c r="K24" s="12" t="s">
        <v>5</v>
      </c>
      <c r="L24" s="12" t="s">
        <v>6</v>
      </c>
      <c r="M24" s="12" t="s">
        <v>1</v>
      </c>
      <c r="N24" s="12" t="s">
        <v>4</v>
      </c>
      <c r="O24" s="12" t="s">
        <v>13</v>
      </c>
      <c r="Q24" s="4" t="s">
        <v>21</v>
      </c>
      <c r="R24" s="12" t="s">
        <v>0</v>
      </c>
      <c r="S24" s="12" t="s">
        <v>5</v>
      </c>
      <c r="T24" s="12" t="s">
        <v>6</v>
      </c>
      <c r="U24" s="12" t="s">
        <v>1</v>
      </c>
      <c r="V24" s="12" t="s">
        <v>4</v>
      </c>
      <c r="W24" s="12" t="s">
        <v>13</v>
      </c>
      <c r="Y24" s="4" t="s">
        <v>21</v>
      </c>
      <c r="Z24" s="12" t="s">
        <v>0</v>
      </c>
      <c r="AA24" s="12" t="s">
        <v>5</v>
      </c>
      <c r="AB24" s="12" t="s">
        <v>6</v>
      </c>
      <c r="AC24" s="12" t="s">
        <v>1</v>
      </c>
      <c r="AD24" s="12" t="s">
        <v>4</v>
      </c>
      <c r="AE24" s="12" t="s">
        <v>13</v>
      </c>
      <c r="AG24" s="4" t="s">
        <v>21</v>
      </c>
      <c r="AH24" s="12" t="s">
        <v>0</v>
      </c>
      <c r="AI24" s="12" t="s">
        <v>5</v>
      </c>
      <c r="AJ24" s="12" t="s">
        <v>6</v>
      </c>
      <c r="AK24" s="12" t="s">
        <v>1</v>
      </c>
      <c r="AL24" s="12" t="s">
        <v>4</v>
      </c>
      <c r="AM24" s="12" t="s">
        <v>13</v>
      </c>
      <c r="AO24" s="4" t="s">
        <v>21</v>
      </c>
      <c r="AP24" s="12" t="s">
        <v>0</v>
      </c>
      <c r="AQ24" s="12" t="s">
        <v>5</v>
      </c>
      <c r="AR24" s="12" t="s">
        <v>6</v>
      </c>
      <c r="AS24" s="12" t="s">
        <v>1</v>
      </c>
      <c r="AT24" s="12" t="s">
        <v>4</v>
      </c>
      <c r="AU24" s="12" t="s">
        <v>13</v>
      </c>
    </row>
    <row r="25" spans="1:41" ht="12.75">
      <c r="A25" s="4">
        <v>1983</v>
      </c>
      <c r="B25">
        <v>40</v>
      </c>
      <c r="C25">
        <v>299</v>
      </c>
      <c r="D25">
        <v>116</v>
      </c>
      <c r="E25">
        <v>29</v>
      </c>
      <c r="F25">
        <v>49</v>
      </c>
      <c r="G25">
        <f>SUM(B25:F25)</f>
        <v>533</v>
      </c>
      <c r="I25" s="4">
        <v>1983</v>
      </c>
      <c r="J25">
        <v>65</v>
      </c>
      <c r="K25">
        <v>418</v>
      </c>
      <c r="L25">
        <v>132</v>
      </c>
      <c r="M25">
        <v>33</v>
      </c>
      <c r="N25">
        <v>20</v>
      </c>
      <c r="O25">
        <f>SUM(J25:N25)</f>
        <v>668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I25">
        <v>1</v>
      </c>
      <c r="AM25">
        <f>SUM(AH25:AL25)</f>
        <v>1</v>
      </c>
      <c r="AO25" s="4">
        <v>1983</v>
      </c>
    </row>
    <row r="26" spans="1:41" ht="12.75">
      <c r="A26" s="4">
        <v>1984</v>
      </c>
      <c r="B26">
        <v>49</v>
      </c>
      <c r="C26">
        <v>374</v>
      </c>
      <c r="D26">
        <v>180</v>
      </c>
      <c r="E26">
        <v>96</v>
      </c>
      <c r="F26">
        <v>115</v>
      </c>
      <c r="G26">
        <f aca="true" t="shared" si="5" ref="G26:G41">SUM(B26:F26)</f>
        <v>814</v>
      </c>
      <c r="I26" s="4">
        <v>1984</v>
      </c>
      <c r="J26">
        <v>75</v>
      </c>
      <c r="K26">
        <v>495</v>
      </c>
      <c r="L26">
        <v>237</v>
      </c>
      <c r="M26">
        <v>100</v>
      </c>
      <c r="N26">
        <v>77</v>
      </c>
      <c r="O26">
        <f aca="true" t="shared" si="6" ref="O26:O41">SUM(J26:N26)</f>
        <v>984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L26">
        <v>1</v>
      </c>
      <c r="AM26">
        <f aca="true" t="shared" si="9" ref="AM26:AM41">SUM(AH26:AL26)</f>
        <v>1</v>
      </c>
      <c r="AO26" s="4">
        <v>1984</v>
      </c>
    </row>
    <row r="27" spans="1:41" ht="12.75">
      <c r="A27" s="4">
        <v>1985</v>
      </c>
      <c r="G27">
        <f t="shared" si="5"/>
        <v>0</v>
      </c>
      <c r="I27" s="4">
        <v>1985</v>
      </c>
      <c r="O27">
        <f t="shared" si="6"/>
        <v>0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G28">
        <f t="shared" si="5"/>
        <v>0</v>
      </c>
      <c r="I28" s="4">
        <v>1986</v>
      </c>
      <c r="O28">
        <f t="shared" si="6"/>
        <v>0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B29">
        <v>16</v>
      </c>
      <c r="F29">
        <v>954</v>
      </c>
      <c r="G29">
        <f t="shared" si="5"/>
        <v>970</v>
      </c>
      <c r="I29" s="4">
        <v>1987</v>
      </c>
      <c r="J29">
        <v>36</v>
      </c>
      <c r="N29" s="2">
        <v>1408</v>
      </c>
      <c r="O29">
        <f t="shared" si="6"/>
        <v>1444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M29">
        <f t="shared" si="9"/>
        <v>0</v>
      </c>
      <c r="AO29" s="4">
        <v>1987</v>
      </c>
    </row>
    <row r="30" spans="1:41" ht="12.75">
      <c r="A30" s="4">
        <v>1988</v>
      </c>
      <c r="B30">
        <v>94</v>
      </c>
      <c r="C30">
        <v>420</v>
      </c>
      <c r="D30">
        <v>189</v>
      </c>
      <c r="E30">
        <v>101</v>
      </c>
      <c r="F30">
        <v>923</v>
      </c>
      <c r="G30">
        <f t="shared" si="5"/>
        <v>1727</v>
      </c>
      <c r="I30" s="4">
        <v>1988</v>
      </c>
      <c r="J30">
        <v>197</v>
      </c>
      <c r="K30">
        <v>870</v>
      </c>
      <c r="L30">
        <v>330</v>
      </c>
      <c r="M30">
        <v>247</v>
      </c>
      <c r="N30" s="2">
        <v>1251</v>
      </c>
      <c r="O30">
        <f t="shared" si="6"/>
        <v>2895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I30">
        <v>7</v>
      </c>
      <c r="AJ30">
        <v>2</v>
      </c>
      <c r="AL30">
        <v>6</v>
      </c>
      <c r="AM30">
        <f t="shared" si="9"/>
        <v>15</v>
      </c>
      <c r="AO30" s="4">
        <v>1988</v>
      </c>
    </row>
    <row r="31" spans="1:41" ht="12.75">
      <c r="A31" s="4">
        <v>1989</v>
      </c>
      <c r="B31">
        <v>122</v>
      </c>
      <c r="C31">
        <v>461</v>
      </c>
      <c r="D31">
        <v>201</v>
      </c>
      <c r="E31">
        <v>93</v>
      </c>
      <c r="F31">
        <v>253</v>
      </c>
      <c r="G31">
        <f t="shared" si="5"/>
        <v>1130</v>
      </c>
      <c r="I31" s="4">
        <v>1989</v>
      </c>
      <c r="J31">
        <v>211</v>
      </c>
      <c r="K31" s="2">
        <v>1040</v>
      </c>
      <c r="L31">
        <v>380</v>
      </c>
      <c r="M31">
        <v>380</v>
      </c>
      <c r="N31">
        <v>187</v>
      </c>
      <c r="O31">
        <f t="shared" si="6"/>
        <v>2198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H31">
        <v>2</v>
      </c>
      <c r="AI31">
        <v>2</v>
      </c>
      <c r="AK31">
        <v>2</v>
      </c>
      <c r="AL31">
        <v>1</v>
      </c>
      <c r="AM31">
        <f t="shared" si="9"/>
        <v>7</v>
      </c>
      <c r="AO31" s="4">
        <v>1989</v>
      </c>
    </row>
    <row r="32" spans="1:41" ht="12.75">
      <c r="A32" s="4">
        <v>1990</v>
      </c>
      <c r="B32">
        <v>105</v>
      </c>
      <c r="C32">
        <v>486</v>
      </c>
      <c r="D32">
        <v>200</v>
      </c>
      <c r="E32">
        <v>101</v>
      </c>
      <c r="F32">
        <v>239</v>
      </c>
      <c r="G32">
        <f t="shared" si="5"/>
        <v>1131</v>
      </c>
      <c r="I32" s="4">
        <v>1990</v>
      </c>
      <c r="J32">
        <v>220</v>
      </c>
      <c r="K32" s="2">
        <v>1169</v>
      </c>
      <c r="L32">
        <v>404</v>
      </c>
      <c r="M32">
        <v>479</v>
      </c>
      <c r="N32">
        <v>197</v>
      </c>
      <c r="O32">
        <f t="shared" si="6"/>
        <v>2469</v>
      </c>
      <c r="Q32" s="4">
        <v>1990</v>
      </c>
      <c r="V32">
        <v>1</v>
      </c>
      <c r="W32">
        <f t="shared" si="7"/>
        <v>1</v>
      </c>
      <c r="Y32" s="4">
        <v>1990</v>
      </c>
      <c r="AA32">
        <v>1</v>
      </c>
      <c r="AE32">
        <f t="shared" si="8"/>
        <v>1</v>
      </c>
      <c r="AG32" s="4">
        <v>1990</v>
      </c>
      <c r="AI32">
        <v>3</v>
      </c>
      <c r="AJ32">
        <v>1</v>
      </c>
      <c r="AK32">
        <v>2</v>
      </c>
      <c r="AL32">
        <v>1</v>
      </c>
      <c r="AM32">
        <f t="shared" si="9"/>
        <v>7</v>
      </c>
      <c r="AO32" s="4">
        <v>1990</v>
      </c>
    </row>
    <row r="33" spans="1:41" ht="12.75">
      <c r="A33" s="4">
        <v>1991</v>
      </c>
      <c r="B33">
        <v>101</v>
      </c>
      <c r="C33">
        <v>434</v>
      </c>
      <c r="D33">
        <v>186</v>
      </c>
      <c r="E33">
        <v>95</v>
      </c>
      <c r="F33">
        <v>194</v>
      </c>
      <c r="G33">
        <f t="shared" si="5"/>
        <v>1010</v>
      </c>
      <c r="I33" s="4">
        <v>1991</v>
      </c>
      <c r="J33">
        <v>260</v>
      </c>
      <c r="K33" s="2">
        <v>1132</v>
      </c>
      <c r="L33">
        <v>351</v>
      </c>
      <c r="M33">
        <v>581</v>
      </c>
      <c r="N33">
        <v>198</v>
      </c>
      <c r="O33">
        <f t="shared" si="6"/>
        <v>2522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I33">
        <v>3</v>
      </c>
      <c r="AJ33">
        <v>1</v>
      </c>
      <c r="AK33">
        <v>1</v>
      </c>
      <c r="AM33">
        <f t="shared" si="9"/>
        <v>5</v>
      </c>
      <c r="AO33" s="4">
        <v>1991</v>
      </c>
    </row>
    <row r="34" spans="1:41" ht="12.75">
      <c r="A34" s="4">
        <v>1992</v>
      </c>
      <c r="B34">
        <v>128</v>
      </c>
      <c r="C34">
        <v>455</v>
      </c>
      <c r="D34">
        <v>202</v>
      </c>
      <c r="E34">
        <v>103</v>
      </c>
      <c r="F34">
        <v>207</v>
      </c>
      <c r="G34">
        <f t="shared" si="5"/>
        <v>1095</v>
      </c>
      <c r="I34" s="4">
        <v>1992</v>
      </c>
      <c r="J34">
        <v>315</v>
      </c>
      <c r="K34" s="2">
        <v>1115</v>
      </c>
      <c r="L34">
        <v>329</v>
      </c>
      <c r="M34">
        <v>780</v>
      </c>
      <c r="N34">
        <v>199</v>
      </c>
      <c r="O34">
        <f t="shared" si="6"/>
        <v>2738</v>
      </c>
      <c r="Q34" s="4">
        <v>1992</v>
      </c>
      <c r="S34">
        <v>2</v>
      </c>
      <c r="W34">
        <f t="shared" si="7"/>
        <v>2</v>
      </c>
      <c r="Y34" s="4">
        <v>1992</v>
      </c>
      <c r="AB34">
        <v>1</v>
      </c>
      <c r="AE34">
        <f t="shared" si="8"/>
        <v>1</v>
      </c>
      <c r="AG34" s="4">
        <v>1992</v>
      </c>
      <c r="AM34">
        <f t="shared" si="9"/>
        <v>0</v>
      </c>
      <c r="AO34" s="4">
        <v>1992</v>
      </c>
    </row>
    <row r="35" spans="1:41" ht="12.75">
      <c r="A35" s="4">
        <v>1993</v>
      </c>
      <c r="B35">
        <v>117</v>
      </c>
      <c r="C35">
        <v>399</v>
      </c>
      <c r="D35">
        <v>171</v>
      </c>
      <c r="E35">
        <v>99</v>
      </c>
      <c r="F35">
        <v>189</v>
      </c>
      <c r="G35">
        <f t="shared" si="5"/>
        <v>975</v>
      </c>
      <c r="I35" s="4">
        <v>1993</v>
      </c>
      <c r="J35">
        <v>350</v>
      </c>
      <c r="K35" s="2">
        <v>1063</v>
      </c>
      <c r="L35">
        <v>281</v>
      </c>
      <c r="M35">
        <v>687</v>
      </c>
      <c r="N35">
        <v>184</v>
      </c>
      <c r="O35">
        <f t="shared" si="6"/>
        <v>2565</v>
      </c>
      <c r="Q35" s="4">
        <v>1993</v>
      </c>
      <c r="W35">
        <f t="shared" si="7"/>
        <v>0</v>
      </c>
      <c r="Y35" s="4">
        <v>1993</v>
      </c>
      <c r="AB35">
        <v>1</v>
      </c>
      <c r="AE35">
        <f t="shared" si="8"/>
        <v>1</v>
      </c>
      <c r="AG35" s="4">
        <v>1993</v>
      </c>
      <c r="AH35">
        <v>1</v>
      </c>
      <c r="AI35">
        <v>5</v>
      </c>
      <c r="AK35">
        <v>2</v>
      </c>
      <c r="AL35">
        <v>2</v>
      </c>
      <c r="AM35">
        <f t="shared" si="9"/>
        <v>10</v>
      </c>
      <c r="AO35" s="4">
        <v>1993</v>
      </c>
    </row>
    <row r="36" spans="1:41" ht="12.75">
      <c r="A36" s="4">
        <v>1994</v>
      </c>
      <c r="B36">
        <v>132</v>
      </c>
      <c r="C36">
        <v>345</v>
      </c>
      <c r="D36">
        <v>139</v>
      </c>
      <c r="E36">
        <v>80</v>
      </c>
      <c r="F36">
        <v>149</v>
      </c>
      <c r="G36">
        <f t="shared" si="5"/>
        <v>845</v>
      </c>
      <c r="I36" s="4">
        <v>1994</v>
      </c>
      <c r="J36">
        <v>333</v>
      </c>
      <c r="K36">
        <v>957</v>
      </c>
      <c r="L36">
        <v>242</v>
      </c>
      <c r="M36">
        <v>643</v>
      </c>
      <c r="N36">
        <v>153</v>
      </c>
      <c r="O36">
        <f t="shared" si="6"/>
        <v>2328</v>
      </c>
      <c r="Q36" s="4">
        <v>1994</v>
      </c>
      <c r="W36">
        <f t="shared" si="7"/>
        <v>0</v>
      </c>
      <c r="Y36" s="4">
        <v>1994</v>
      </c>
      <c r="AE36">
        <f t="shared" si="8"/>
        <v>0</v>
      </c>
      <c r="AG36" s="4">
        <v>1994</v>
      </c>
      <c r="AH36">
        <v>4</v>
      </c>
      <c r="AI36">
        <v>2</v>
      </c>
      <c r="AJ36">
        <v>1</v>
      </c>
      <c r="AM36">
        <f t="shared" si="9"/>
        <v>7</v>
      </c>
      <c r="AO36" s="4">
        <v>1994</v>
      </c>
    </row>
    <row r="37" spans="1:41" ht="12.75">
      <c r="A37" s="4">
        <v>1995</v>
      </c>
      <c r="B37">
        <v>130</v>
      </c>
      <c r="C37">
        <v>365</v>
      </c>
      <c r="D37">
        <v>134</v>
      </c>
      <c r="E37">
        <v>111</v>
      </c>
      <c r="F37">
        <v>159</v>
      </c>
      <c r="G37">
        <f t="shared" si="5"/>
        <v>899</v>
      </c>
      <c r="I37" s="4">
        <v>1995</v>
      </c>
      <c r="J37">
        <v>323</v>
      </c>
      <c r="K37">
        <v>975</v>
      </c>
      <c r="L37">
        <v>234</v>
      </c>
      <c r="M37">
        <v>818</v>
      </c>
      <c r="N37">
        <v>199</v>
      </c>
      <c r="O37">
        <f t="shared" si="6"/>
        <v>2549</v>
      </c>
      <c r="Q37" s="4">
        <v>1995</v>
      </c>
      <c r="S37">
        <v>2</v>
      </c>
      <c r="W37">
        <f t="shared" si="7"/>
        <v>2</v>
      </c>
      <c r="Y37" s="4">
        <v>1995</v>
      </c>
      <c r="AD37">
        <v>1</v>
      </c>
      <c r="AE37">
        <f t="shared" si="8"/>
        <v>1</v>
      </c>
      <c r="AG37" s="4">
        <v>1995</v>
      </c>
      <c r="AH37">
        <v>1</v>
      </c>
      <c r="AI37">
        <v>2</v>
      </c>
      <c r="AJ37">
        <v>3</v>
      </c>
      <c r="AK37">
        <v>4</v>
      </c>
      <c r="AL37">
        <v>2</v>
      </c>
      <c r="AM37">
        <f t="shared" si="9"/>
        <v>12</v>
      </c>
      <c r="AO37" s="4">
        <v>1995</v>
      </c>
    </row>
    <row r="38" spans="1:41" ht="12.75">
      <c r="A38" s="4">
        <v>1996</v>
      </c>
      <c r="B38">
        <v>253</v>
      </c>
      <c r="C38">
        <v>483</v>
      </c>
      <c r="D38">
        <v>297</v>
      </c>
      <c r="E38">
        <v>250</v>
      </c>
      <c r="F38">
        <v>363</v>
      </c>
      <c r="G38">
        <f t="shared" si="5"/>
        <v>1646</v>
      </c>
      <c r="I38" s="4">
        <v>1996</v>
      </c>
      <c r="J38">
        <v>503</v>
      </c>
      <c r="K38" s="2">
        <v>1162</v>
      </c>
      <c r="L38">
        <v>581</v>
      </c>
      <c r="M38" s="2">
        <v>1308</v>
      </c>
      <c r="N38">
        <v>375</v>
      </c>
      <c r="O38">
        <f t="shared" si="6"/>
        <v>3929</v>
      </c>
      <c r="Q38" s="4">
        <v>1996</v>
      </c>
      <c r="R38">
        <v>1</v>
      </c>
      <c r="S38">
        <v>1</v>
      </c>
      <c r="U38">
        <v>2</v>
      </c>
      <c r="V38">
        <v>2</v>
      </c>
      <c r="W38">
        <f t="shared" si="7"/>
        <v>6</v>
      </c>
      <c r="Y38" s="4">
        <v>1996</v>
      </c>
      <c r="AE38">
        <f t="shared" si="8"/>
        <v>0</v>
      </c>
      <c r="AG38" s="4">
        <v>1996</v>
      </c>
      <c r="AH38">
        <v>2</v>
      </c>
      <c r="AI38">
        <v>4</v>
      </c>
      <c r="AK38">
        <v>4</v>
      </c>
      <c r="AL38">
        <v>2</v>
      </c>
      <c r="AM38">
        <f t="shared" si="9"/>
        <v>12</v>
      </c>
      <c r="AO38" s="4">
        <v>1996</v>
      </c>
    </row>
    <row r="39" spans="1:41" ht="12.75">
      <c r="A39" s="4">
        <v>1997</v>
      </c>
      <c r="G39">
        <f t="shared" si="5"/>
        <v>0</v>
      </c>
      <c r="I39" s="4">
        <v>1997</v>
      </c>
      <c r="K39" s="2"/>
      <c r="M39" s="2"/>
      <c r="O39">
        <f t="shared" si="6"/>
        <v>0</v>
      </c>
      <c r="Q39" s="4">
        <v>1997</v>
      </c>
      <c r="W39">
        <f t="shared" si="7"/>
        <v>0</v>
      </c>
      <c r="Y39" s="4">
        <v>1997</v>
      </c>
      <c r="AE39">
        <f t="shared" si="8"/>
        <v>0</v>
      </c>
      <c r="AG39" s="4">
        <v>1997</v>
      </c>
      <c r="AM39">
        <f t="shared" si="9"/>
        <v>0</v>
      </c>
      <c r="AO39" s="4">
        <v>1997</v>
      </c>
    </row>
    <row r="40" spans="1:41" ht="12.75">
      <c r="A40" s="4">
        <v>1998</v>
      </c>
      <c r="B40">
        <v>216</v>
      </c>
      <c r="C40">
        <v>619</v>
      </c>
      <c r="D40">
        <v>463</v>
      </c>
      <c r="E40">
        <v>306</v>
      </c>
      <c r="F40">
        <v>381</v>
      </c>
      <c r="G40">
        <f t="shared" si="5"/>
        <v>1985</v>
      </c>
      <c r="I40" s="4">
        <v>1998</v>
      </c>
      <c r="J40">
        <v>526</v>
      </c>
      <c r="K40" s="2">
        <v>1271</v>
      </c>
      <c r="L40">
        <v>802</v>
      </c>
      <c r="M40" s="2">
        <v>1518</v>
      </c>
      <c r="N40">
        <v>415</v>
      </c>
      <c r="O40">
        <f t="shared" si="6"/>
        <v>4532</v>
      </c>
      <c r="Q40" s="4">
        <v>1998</v>
      </c>
      <c r="S40">
        <v>3</v>
      </c>
      <c r="T40">
        <v>1</v>
      </c>
      <c r="U40">
        <v>3</v>
      </c>
      <c r="V40">
        <v>1</v>
      </c>
      <c r="W40">
        <f t="shared" si="7"/>
        <v>8</v>
      </c>
      <c r="Y40" s="4">
        <v>1998</v>
      </c>
      <c r="AA40">
        <v>1</v>
      </c>
      <c r="AD40">
        <v>1</v>
      </c>
      <c r="AE40">
        <f t="shared" si="8"/>
        <v>2</v>
      </c>
      <c r="AG40" s="4">
        <v>1998</v>
      </c>
      <c r="AH40">
        <v>2</v>
      </c>
      <c r="AI40">
        <v>4</v>
      </c>
      <c r="AJ40">
        <v>2</v>
      </c>
      <c r="AK40">
        <v>6</v>
      </c>
      <c r="AL40">
        <v>3</v>
      </c>
      <c r="AM40">
        <f t="shared" si="9"/>
        <v>17</v>
      </c>
      <c r="AO40" s="4">
        <v>1998</v>
      </c>
    </row>
    <row r="41" spans="1:41" ht="12.75">
      <c r="A41" s="4">
        <v>1999</v>
      </c>
      <c r="B41">
        <v>258</v>
      </c>
      <c r="C41">
        <v>633</v>
      </c>
      <c r="D41">
        <v>609</v>
      </c>
      <c r="E41">
        <v>357</v>
      </c>
      <c r="F41">
        <v>556</v>
      </c>
      <c r="G41">
        <f t="shared" si="5"/>
        <v>2413</v>
      </c>
      <c r="I41" s="4">
        <v>1999</v>
      </c>
      <c r="J41">
        <v>622</v>
      </c>
      <c r="K41" s="2">
        <v>1383</v>
      </c>
      <c r="L41" s="2">
        <v>1097</v>
      </c>
      <c r="M41" s="2">
        <v>2078</v>
      </c>
      <c r="N41">
        <v>513</v>
      </c>
      <c r="O41">
        <f t="shared" si="6"/>
        <v>5693</v>
      </c>
      <c r="Q41" s="4">
        <v>1999</v>
      </c>
      <c r="R41">
        <v>2</v>
      </c>
      <c r="S41">
        <v>2</v>
      </c>
      <c r="T41">
        <v>1</v>
      </c>
      <c r="U41">
        <v>1</v>
      </c>
      <c r="W41">
        <f t="shared" si="7"/>
        <v>6</v>
      </c>
      <c r="Y41" s="4">
        <v>1999</v>
      </c>
      <c r="Z41">
        <v>1</v>
      </c>
      <c r="AB41">
        <v>1</v>
      </c>
      <c r="AE41">
        <f t="shared" si="8"/>
        <v>2</v>
      </c>
      <c r="AG41" s="4">
        <v>1999</v>
      </c>
      <c r="AH41">
        <v>2</v>
      </c>
      <c r="AJ41">
        <v>2</v>
      </c>
      <c r="AK41">
        <v>9</v>
      </c>
      <c r="AL41">
        <v>5</v>
      </c>
      <c r="AM41">
        <f t="shared" si="9"/>
        <v>18</v>
      </c>
      <c r="AO41" s="4">
        <v>1999</v>
      </c>
    </row>
    <row r="42" spans="1:41" ht="12.75">
      <c r="A42" s="4" t="s">
        <v>13</v>
      </c>
      <c r="B42" s="2">
        <f>SUM(B25:B41)</f>
        <v>1761</v>
      </c>
      <c r="C42" s="2">
        <f>SUM(C25:C41)</f>
        <v>5773</v>
      </c>
      <c r="D42" s="2">
        <f>SUM(D25:D41)</f>
        <v>3087</v>
      </c>
      <c r="E42" s="2">
        <f>SUM(E25:E41)</f>
        <v>1821</v>
      </c>
      <c r="F42" s="2">
        <f>SUM(F25:F41)</f>
        <v>4731</v>
      </c>
      <c r="G42">
        <f>SUM(B42:F42)</f>
        <v>17173</v>
      </c>
      <c r="I42" s="4" t="s">
        <v>13</v>
      </c>
      <c r="J42" s="2">
        <f>SUM(J25:J41)</f>
        <v>4036</v>
      </c>
      <c r="K42" s="2">
        <f>SUM(K25:K41)</f>
        <v>13050</v>
      </c>
      <c r="L42" s="2">
        <f>SUM(L25:L41)</f>
        <v>5400</v>
      </c>
      <c r="M42" s="2">
        <f>SUM(M25:M41)</f>
        <v>9652</v>
      </c>
      <c r="N42" s="2">
        <f>SUM(N25:N41)</f>
        <v>5376</v>
      </c>
      <c r="O42">
        <f>SUM(J42:N42)</f>
        <v>37514</v>
      </c>
      <c r="Q42" s="4" t="s">
        <v>13</v>
      </c>
      <c r="R42" s="2">
        <f>SUM(R25:R41)</f>
        <v>3</v>
      </c>
      <c r="S42" s="2">
        <f>SUM(S25:S41)</f>
        <v>10</v>
      </c>
      <c r="T42" s="2">
        <f>SUM(T25:T41)</f>
        <v>2</v>
      </c>
      <c r="U42" s="2">
        <f>SUM(U25:U41)</f>
        <v>6</v>
      </c>
      <c r="V42" s="2">
        <f>SUM(V25:V41)</f>
        <v>4</v>
      </c>
      <c r="W42">
        <f>SUM(R42:V42)</f>
        <v>25</v>
      </c>
      <c r="Y42" s="4" t="s">
        <v>13</v>
      </c>
      <c r="Z42" s="2">
        <f>SUM(Z25:Z41)</f>
        <v>1</v>
      </c>
      <c r="AA42" s="2">
        <f>SUM(AA25:AA41)</f>
        <v>2</v>
      </c>
      <c r="AB42" s="2">
        <f>SUM(AB25:AB41)</f>
        <v>3</v>
      </c>
      <c r="AC42" s="2">
        <f>SUM(AC25:AC41)</f>
        <v>0</v>
      </c>
      <c r="AD42" s="2">
        <f>SUM(AD25:AD41)</f>
        <v>2</v>
      </c>
      <c r="AE42">
        <f>SUM(Z42:AD42)</f>
        <v>8</v>
      </c>
      <c r="AG42" s="4" t="s">
        <v>13</v>
      </c>
      <c r="AH42" s="2">
        <f>SUM(AH25:AH41)</f>
        <v>14</v>
      </c>
      <c r="AI42" s="2">
        <f>SUM(AI25:AI41)</f>
        <v>33</v>
      </c>
      <c r="AJ42" s="2">
        <f>SUM(AJ25:AJ41)</f>
        <v>12</v>
      </c>
      <c r="AK42" s="2">
        <f>SUM(AK25:AK41)</f>
        <v>30</v>
      </c>
      <c r="AL42" s="2">
        <f>SUM(AL25:AL41)</f>
        <v>23</v>
      </c>
      <c r="AM42">
        <f>SUM(AH42:AL42)</f>
        <v>112</v>
      </c>
      <c r="AO42" s="4" t="s">
        <v>13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11</v>
      </c>
      <c r="I44" s="4" t="s">
        <v>12</v>
      </c>
      <c r="Q44" s="4" t="s">
        <v>28</v>
      </c>
      <c r="Y44" s="4" t="s">
        <v>29</v>
      </c>
      <c r="AG44" s="4" t="s">
        <v>26</v>
      </c>
      <c r="AO44" s="4" t="s">
        <v>27</v>
      </c>
    </row>
    <row r="45" spans="1:47" ht="12.75">
      <c r="A45" s="4" t="s">
        <v>2</v>
      </c>
      <c r="B45" s="12" t="s">
        <v>0</v>
      </c>
      <c r="C45" s="12" t="s">
        <v>5</v>
      </c>
      <c r="D45" s="12" t="s">
        <v>6</v>
      </c>
      <c r="E45" s="12" t="s">
        <v>1</v>
      </c>
      <c r="F45" s="12" t="s">
        <v>4</v>
      </c>
      <c r="G45" s="12" t="s">
        <v>13</v>
      </c>
      <c r="I45" s="4" t="s">
        <v>2</v>
      </c>
      <c r="J45" s="12" t="s">
        <v>0</v>
      </c>
      <c r="K45" s="12" t="s">
        <v>5</v>
      </c>
      <c r="L45" s="12" t="s">
        <v>6</v>
      </c>
      <c r="M45" s="12" t="s">
        <v>1</v>
      </c>
      <c r="N45" s="12" t="s">
        <v>4</v>
      </c>
      <c r="O45" s="12" t="s">
        <v>13</v>
      </c>
      <c r="Q45" s="4" t="s">
        <v>2</v>
      </c>
      <c r="R45" s="12" t="s">
        <v>0</v>
      </c>
      <c r="S45" s="12" t="s">
        <v>5</v>
      </c>
      <c r="T45" s="12" t="s">
        <v>6</v>
      </c>
      <c r="U45" s="12" t="s">
        <v>1</v>
      </c>
      <c r="V45" s="12" t="s">
        <v>4</v>
      </c>
      <c r="W45" s="12" t="s">
        <v>13</v>
      </c>
      <c r="Y45" s="4" t="s">
        <v>2</v>
      </c>
      <c r="Z45" s="12" t="s">
        <v>0</v>
      </c>
      <c r="AA45" s="12" t="s">
        <v>5</v>
      </c>
      <c r="AB45" s="12" t="s">
        <v>6</v>
      </c>
      <c r="AC45" s="12" t="s">
        <v>1</v>
      </c>
      <c r="AD45" s="12" t="s">
        <v>4</v>
      </c>
      <c r="AE45" s="12" t="s">
        <v>13</v>
      </c>
      <c r="AG45" s="4" t="s">
        <v>2</v>
      </c>
      <c r="AH45" s="12" t="s">
        <v>0</v>
      </c>
      <c r="AI45" s="12" t="s">
        <v>5</v>
      </c>
      <c r="AJ45" s="12" t="s">
        <v>6</v>
      </c>
      <c r="AK45" s="12" t="s">
        <v>1</v>
      </c>
      <c r="AL45" s="12" t="s">
        <v>4</v>
      </c>
      <c r="AM45" s="12" t="s">
        <v>13</v>
      </c>
      <c r="AO45" s="4" t="s">
        <v>2</v>
      </c>
      <c r="AP45" s="12" t="s">
        <v>0</v>
      </c>
      <c r="AQ45" s="12" t="s">
        <v>5</v>
      </c>
      <c r="AR45" s="12" t="s">
        <v>6</v>
      </c>
      <c r="AS45" s="12" t="s">
        <v>1</v>
      </c>
      <c r="AT45" s="12" t="s">
        <v>4</v>
      </c>
      <c r="AU45" s="12" t="s">
        <v>13</v>
      </c>
    </row>
    <row r="46" spans="1:41" ht="12.75">
      <c r="A46" s="4">
        <v>1983</v>
      </c>
      <c r="B46">
        <v>82</v>
      </c>
      <c r="C46">
        <v>330</v>
      </c>
      <c r="D46">
        <v>297</v>
      </c>
      <c r="E46">
        <v>144</v>
      </c>
      <c r="F46">
        <v>286</v>
      </c>
      <c r="G46">
        <f>SUM(B46:F46)</f>
        <v>1139</v>
      </c>
      <c r="I46" s="4">
        <v>1983</v>
      </c>
      <c r="J46">
        <v>142</v>
      </c>
      <c r="K46">
        <v>477</v>
      </c>
      <c r="L46">
        <v>335</v>
      </c>
      <c r="M46">
        <v>118</v>
      </c>
      <c r="N46">
        <v>181</v>
      </c>
      <c r="O46">
        <f>SUM(J46:N46)</f>
        <v>1253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 aca="true" t="shared" si="11" ref="AM46:AM61">SUM(AH46:AL46)</f>
        <v>0</v>
      </c>
      <c r="AO46" s="4">
        <v>1983</v>
      </c>
    </row>
    <row r="47" spans="1:41" ht="12.75">
      <c r="A47" s="4">
        <v>1984</v>
      </c>
      <c r="B47">
        <v>102</v>
      </c>
      <c r="C47">
        <v>415</v>
      </c>
      <c r="D47">
        <v>394</v>
      </c>
      <c r="E47">
        <v>260</v>
      </c>
      <c r="F47">
        <v>589</v>
      </c>
      <c r="G47">
        <f aca="true" t="shared" si="12" ref="G47:G62">SUM(B47:F47)</f>
        <v>1760</v>
      </c>
      <c r="I47" s="4">
        <v>1984</v>
      </c>
      <c r="J47">
        <v>136</v>
      </c>
      <c r="K47">
        <v>491</v>
      </c>
      <c r="L47">
        <v>439</v>
      </c>
      <c r="M47">
        <v>197</v>
      </c>
      <c r="N47">
        <v>374</v>
      </c>
      <c r="O47">
        <f aca="true" t="shared" si="13" ref="O47:O62">SUM(J47:N47)</f>
        <v>1637</v>
      </c>
      <c r="Q47" s="4">
        <v>1984</v>
      </c>
      <c r="W47">
        <f aca="true" t="shared" si="14" ref="W47:W62">SUM(R47:V47)</f>
        <v>0</v>
      </c>
      <c r="Y47" s="4">
        <v>1984</v>
      </c>
      <c r="AE47">
        <f t="shared" si="10"/>
        <v>0</v>
      </c>
      <c r="AG47" s="4">
        <v>1984</v>
      </c>
      <c r="AL47">
        <v>2</v>
      </c>
      <c r="AM47">
        <f t="shared" si="11"/>
        <v>2</v>
      </c>
      <c r="AO47" s="4">
        <v>1984</v>
      </c>
    </row>
    <row r="48" spans="1:41" ht="12.75">
      <c r="A48" s="4">
        <v>1985</v>
      </c>
      <c r="G48">
        <f t="shared" si="12"/>
        <v>0</v>
      </c>
      <c r="I48" s="4">
        <v>1985</v>
      </c>
      <c r="O48">
        <f t="shared" si="13"/>
        <v>0</v>
      </c>
      <c r="Q48" s="4">
        <v>1985</v>
      </c>
      <c r="W48">
        <f t="shared" si="14"/>
        <v>0</v>
      </c>
      <c r="Y48" s="4">
        <v>1985</v>
      </c>
      <c r="AE48">
        <f t="shared" si="10"/>
        <v>0</v>
      </c>
      <c r="AG48" s="4">
        <v>1985</v>
      </c>
      <c r="AM48">
        <f t="shared" si="11"/>
        <v>0</v>
      </c>
      <c r="AO48" s="4">
        <v>1985</v>
      </c>
    </row>
    <row r="49" spans="1:41" ht="12.75">
      <c r="A49" s="4">
        <v>1986</v>
      </c>
      <c r="G49">
        <f t="shared" si="12"/>
        <v>0</v>
      </c>
      <c r="I49" s="4">
        <v>1986</v>
      </c>
      <c r="O49">
        <f t="shared" si="13"/>
        <v>0</v>
      </c>
      <c r="Q49" s="4">
        <v>1986</v>
      </c>
      <c r="W49">
        <f t="shared" si="14"/>
        <v>0</v>
      </c>
      <c r="Y49" s="4">
        <v>1986</v>
      </c>
      <c r="AE49">
        <f t="shared" si="10"/>
        <v>0</v>
      </c>
      <c r="AG49" s="4">
        <v>1986</v>
      </c>
      <c r="AM49">
        <f t="shared" si="11"/>
        <v>0</v>
      </c>
      <c r="AO49" s="4">
        <v>1986</v>
      </c>
    </row>
    <row r="50" spans="1:41" ht="12.75">
      <c r="A50" s="4">
        <v>1987</v>
      </c>
      <c r="B50">
        <v>5</v>
      </c>
      <c r="F50" s="2">
        <v>1444</v>
      </c>
      <c r="G50">
        <f t="shared" si="12"/>
        <v>1449</v>
      </c>
      <c r="I50" s="4">
        <v>1987</v>
      </c>
      <c r="J50">
        <v>12</v>
      </c>
      <c r="N50" s="2">
        <v>1716</v>
      </c>
      <c r="O50">
        <f t="shared" si="13"/>
        <v>1728</v>
      </c>
      <c r="Q50" s="4">
        <v>1987</v>
      </c>
      <c r="W50">
        <f t="shared" si="14"/>
        <v>0</v>
      </c>
      <c r="Y50" s="4">
        <v>1987</v>
      </c>
      <c r="AE50">
        <f t="shared" si="10"/>
        <v>0</v>
      </c>
      <c r="AG50" s="4">
        <v>1987</v>
      </c>
      <c r="AM50">
        <f t="shared" si="11"/>
        <v>0</v>
      </c>
      <c r="AO50" s="4">
        <v>1987</v>
      </c>
    </row>
    <row r="51" spans="1:41" ht="12.75">
      <c r="A51" s="4">
        <v>1988</v>
      </c>
      <c r="B51">
        <v>102</v>
      </c>
      <c r="C51">
        <v>277</v>
      </c>
      <c r="D51">
        <v>279</v>
      </c>
      <c r="E51">
        <v>122</v>
      </c>
      <c r="F51" s="2">
        <v>1139</v>
      </c>
      <c r="G51">
        <f t="shared" si="12"/>
        <v>1919</v>
      </c>
      <c r="I51" s="4">
        <v>1988</v>
      </c>
      <c r="J51">
        <v>193</v>
      </c>
      <c r="K51">
        <v>569</v>
      </c>
      <c r="L51">
        <v>488</v>
      </c>
      <c r="M51">
        <v>319</v>
      </c>
      <c r="N51" s="2">
        <v>1237</v>
      </c>
      <c r="O51">
        <f t="shared" si="13"/>
        <v>2806</v>
      </c>
      <c r="Q51" s="4">
        <v>1988</v>
      </c>
      <c r="T51">
        <v>1</v>
      </c>
      <c r="V51">
        <v>1</v>
      </c>
      <c r="W51">
        <f t="shared" si="14"/>
        <v>2</v>
      </c>
      <c r="Y51" s="4">
        <v>1988</v>
      </c>
      <c r="AE51">
        <f t="shared" si="10"/>
        <v>0</v>
      </c>
      <c r="AG51" s="4">
        <v>1988</v>
      </c>
      <c r="AJ51">
        <v>1</v>
      </c>
      <c r="AK51">
        <v>1</v>
      </c>
      <c r="AL51">
        <v>6</v>
      </c>
      <c r="AM51">
        <f t="shared" si="11"/>
        <v>8</v>
      </c>
      <c r="AO51" s="4">
        <v>1988</v>
      </c>
    </row>
    <row r="52" spans="1:41" ht="12.75">
      <c r="A52" s="4">
        <v>1989</v>
      </c>
      <c r="B52">
        <v>115</v>
      </c>
      <c r="C52">
        <v>340</v>
      </c>
      <c r="D52">
        <v>261</v>
      </c>
      <c r="E52">
        <v>193</v>
      </c>
      <c r="F52">
        <v>396</v>
      </c>
      <c r="G52">
        <f t="shared" si="12"/>
        <v>1305</v>
      </c>
      <c r="I52" s="4">
        <v>1989</v>
      </c>
      <c r="J52">
        <v>247</v>
      </c>
      <c r="K52">
        <v>705</v>
      </c>
      <c r="L52">
        <v>458</v>
      </c>
      <c r="M52">
        <v>549</v>
      </c>
      <c r="N52">
        <v>292</v>
      </c>
      <c r="O52">
        <f t="shared" si="13"/>
        <v>2251</v>
      </c>
      <c r="Q52" s="4">
        <v>1989</v>
      </c>
      <c r="W52">
        <f t="shared" si="14"/>
        <v>0</v>
      </c>
      <c r="Y52" s="4">
        <v>1989</v>
      </c>
      <c r="AE52">
        <f t="shared" si="10"/>
        <v>0</v>
      </c>
      <c r="AG52" s="4">
        <v>1989</v>
      </c>
      <c r="AH52">
        <v>1</v>
      </c>
      <c r="AI52">
        <v>1</v>
      </c>
      <c r="AL52">
        <v>2</v>
      </c>
      <c r="AM52">
        <f t="shared" si="11"/>
        <v>4</v>
      </c>
      <c r="AO52" s="4">
        <v>1989</v>
      </c>
    </row>
    <row r="53" spans="1:41" ht="12.75">
      <c r="A53" s="4">
        <v>1990</v>
      </c>
      <c r="B53">
        <v>140</v>
      </c>
      <c r="C53">
        <v>369</v>
      </c>
      <c r="D53">
        <v>371</v>
      </c>
      <c r="E53">
        <v>200</v>
      </c>
      <c r="F53">
        <v>558</v>
      </c>
      <c r="G53">
        <f t="shared" si="12"/>
        <v>1638</v>
      </c>
      <c r="I53" s="4">
        <v>1990</v>
      </c>
      <c r="J53">
        <v>300</v>
      </c>
      <c r="K53">
        <v>781</v>
      </c>
      <c r="L53">
        <v>606</v>
      </c>
      <c r="M53">
        <v>851</v>
      </c>
      <c r="N53">
        <v>405</v>
      </c>
      <c r="O53">
        <f t="shared" si="13"/>
        <v>2943</v>
      </c>
      <c r="Q53" s="4">
        <v>1990</v>
      </c>
      <c r="S53">
        <v>1</v>
      </c>
      <c r="W53">
        <f t="shared" si="14"/>
        <v>1</v>
      </c>
      <c r="Y53" s="4">
        <v>1990</v>
      </c>
      <c r="AD53">
        <v>1</v>
      </c>
      <c r="AE53">
        <f t="shared" si="10"/>
        <v>1</v>
      </c>
      <c r="AG53" s="4">
        <v>1990</v>
      </c>
      <c r="AI53">
        <v>1</v>
      </c>
      <c r="AJ53">
        <v>1</v>
      </c>
      <c r="AL53">
        <v>1</v>
      </c>
      <c r="AM53">
        <f t="shared" si="11"/>
        <v>3</v>
      </c>
      <c r="AO53" s="4">
        <v>1990</v>
      </c>
    </row>
    <row r="54" spans="1:41" ht="12.75">
      <c r="A54" s="4">
        <v>1991</v>
      </c>
      <c r="B54">
        <v>140</v>
      </c>
      <c r="C54">
        <v>395</v>
      </c>
      <c r="D54">
        <v>379</v>
      </c>
      <c r="E54">
        <v>257</v>
      </c>
      <c r="F54">
        <v>536</v>
      </c>
      <c r="G54">
        <f t="shared" si="12"/>
        <v>1707</v>
      </c>
      <c r="I54" s="4">
        <v>1991</v>
      </c>
      <c r="J54">
        <v>311</v>
      </c>
      <c r="K54">
        <v>756</v>
      </c>
      <c r="L54">
        <v>563</v>
      </c>
      <c r="M54" s="2">
        <v>1015</v>
      </c>
      <c r="N54">
        <v>438</v>
      </c>
      <c r="O54">
        <f t="shared" si="13"/>
        <v>3083</v>
      </c>
      <c r="Q54" s="4">
        <v>1991</v>
      </c>
      <c r="T54">
        <v>1</v>
      </c>
      <c r="W54">
        <f t="shared" si="14"/>
        <v>1</v>
      </c>
      <c r="Y54" s="4">
        <v>1991</v>
      </c>
      <c r="AE54">
        <f t="shared" si="10"/>
        <v>0</v>
      </c>
      <c r="AG54" s="4">
        <v>1991</v>
      </c>
      <c r="AH54">
        <v>2</v>
      </c>
      <c r="AI54">
        <v>6</v>
      </c>
      <c r="AJ54">
        <v>3</v>
      </c>
      <c r="AK54">
        <v>1</v>
      </c>
      <c r="AL54">
        <v>6</v>
      </c>
      <c r="AM54">
        <f t="shared" si="11"/>
        <v>18</v>
      </c>
      <c r="AO54" s="4">
        <v>1991</v>
      </c>
    </row>
    <row r="55" spans="1:41" ht="12.75">
      <c r="A55" s="4">
        <v>1992</v>
      </c>
      <c r="B55">
        <v>156</v>
      </c>
      <c r="C55">
        <v>343</v>
      </c>
      <c r="D55">
        <v>348</v>
      </c>
      <c r="E55">
        <v>238</v>
      </c>
      <c r="F55">
        <v>534</v>
      </c>
      <c r="G55">
        <f t="shared" si="12"/>
        <v>1619</v>
      </c>
      <c r="I55" s="4">
        <v>1992</v>
      </c>
      <c r="J55">
        <v>304</v>
      </c>
      <c r="K55">
        <v>677</v>
      </c>
      <c r="L55">
        <v>509</v>
      </c>
      <c r="M55" s="2">
        <v>1001</v>
      </c>
      <c r="N55">
        <v>368</v>
      </c>
      <c r="O55">
        <f t="shared" si="13"/>
        <v>2859</v>
      </c>
      <c r="Q55" s="4">
        <v>1992</v>
      </c>
      <c r="R55">
        <v>1</v>
      </c>
      <c r="W55">
        <f t="shared" si="14"/>
        <v>1</v>
      </c>
      <c r="Y55" s="4">
        <v>1992</v>
      </c>
      <c r="AA55">
        <v>1</v>
      </c>
      <c r="AC55">
        <v>1</v>
      </c>
      <c r="AD55">
        <v>1</v>
      </c>
      <c r="AE55">
        <f t="shared" si="10"/>
        <v>3</v>
      </c>
      <c r="AG55" s="4">
        <v>1992</v>
      </c>
      <c r="AM55">
        <f t="shared" si="11"/>
        <v>0</v>
      </c>
      <c r="AO55" s="4">
        <v>1992</v>
      </c>
    </row>
    <row r="56" spans="1:41" ht="12.75">
      <c r="A56" s="4">
        <v>1993</v>
      </c>
      <c r="B56">
        <v>109</v>
      </c>
      <c r="C56">
        <v>301</v>
      </c>
      <c r="D56">
        <v>232</v>
      </c>
      <c r="E56">
        <v>190</v>
      </c>
      <c r="F56">
        <v>350</v>
      </c>
      <c r="G56">
        <f t="shared" si="12"/>
        <v>1182</v>
      </c>
      <c r="I56" s="4">
        <v>1993</v>
      </c>
      <c r="J56">
        <v>272</v>
      </c>
      <c r="K56">
        <v>477</v>
      </c>
      <c r="L56">
        <v>374</v>
      </c>
      <c r="M56">
        <v>729</v>
      </c>
      <c r="N56">
        <v>311</v>
      </c>
      <c r="O56">
        <f t="shared" si="13"/>
        <v>2163</v>
      </c>
      <c r="Q56" s="4">
        <v>1993</v>
      </c>
      <c r="S56">
        <v>1</v>
      </c>
      <c r="U56">
        <v>2</v>
      </c>
      <c r="W56">
        <f t="shared" si="14"/>
        <v>3</v>
      </c>
      <c r="Y56" s="4">
        <v>1993</v>
      </c>
      <c r="AE56">
        <f t="shared" si="10"/>
        <v>0</v>
      </c>
      <c r="AG56" s="4">
        <v>1993</v>
      </c>
      <c r="AH56">
        <v>1</v>
      </c>
      <c r="AI56">
        <v>2</v>
      </c>
      <c r="AJ56">
        <v>1</v>
      </c>
      <c r="AK56">
        <v>3</v>
      </c>
      <c r="AL56">
        <v>3</v>
      </c>
      <c r="AM56">
        <f t="shared" si="11"/>
        <v>10</v>
      </c>
      <c r="AO56" s="4">
        <v>1993</v>
      </c>
    </row>
    <row r="57" spans="1:41" ht="12.75">
      <c r="A57" s="4">
        <v>1994</v>
      </c>
      <c r="B57">
        <v>135</v>
      </c>
      <c r="C57">
        <v>283</v>
      </c>
      <c r="D57">
        <v>255</v>
      </c>
      <c r="E57">
        <v>199</v>
      </c>
      <c r="F57">
        <v>405</v>
      </c>
      <c r="G57">
        <f t="shared" si="12"/>
        <v>1277</v>
      </c>
      <c r="I57" s="4">
        <v>1994</v>
      </c>
      <c r="J57">
        <v>224</v>
      </c>
      <c r="K57">
        <v>487</v>
      </c>
      <c r="L57">
        <v>376</v>
      </c>
      <c r="M57">
        <v>771</v>
      </c>
      <c r="N57">
        <v>352</v>
      </c>
      <c r="O57">
        <f t="shared" si="13"/>
        <v>2210</v>
      </c>
      <c r="Q57" s="4">
        <v>1994</v>
      </c>
      <c r="S57">
        <v>2</v>
      </c>
      <c r="W57">
        <f t="shared" si="14"/>
        <v>2</v>
      </c>
      <c r="Y57" s="4">
        <v>1994</v>
      </c>
      <c r="AE57">
        <f t="shared" si="10"/>
        <v>0</v>
      </c>
      <c r="AG57" s="4">
        <v>1994</v>
      </c>
      <c r="AH57">
        <v>2</v>
      </c>
      <c r="AI57">
        <v>5</v>
      </c>
      <c r="AJ57">
        <v>3</v>
      </c>
      <c r="AK57">
        <v>3</v>
      </c>
      <c r="AL57">
        <v>7</v>
      </c>
      <c r="AM57">
        <f t="shared" si="11"/>
        <v>20</v>
      </c>
      <c r="AO57" s="4">
        <v>1994</v>
      </c>
    </row>
    <row r="58" spans="1:41" ht="12.75">
      <c r="A58" s="4">
        <v>1995</v>
      </c>
      <c r="B58">
        <v>126</v>
      </c>
      <c r="C58">
        <v>236</v>
      </c>
      <c r="D58">
        <v>293</v>
      </c>
      <c r="E58">
        <v>202</v>
      </c>
      <c r="F58">
        <v>345</v>
      </c>
      <c r="G58">
        <f t="shared" si="12"/>
        <v>1202</v>
      </c>
      <c r="I58" s="4">
        <v>1995</v>
      </c>
      <c r="J58">
        <v>262</v>
      </c>
      <c r="K58">
        <v>427</v>
      </c>
      <c r="L58">
        <v>416</v>
      </c>
      <c r="M58">
        <v>756</v>
      </c>
      <c r="N58">
        <v>329</v>
      </c>
      <c r="O58">
        <f t="shared" si="13"/>
        <v>2190</v>
      </c>
      <c r="Q58" s="4">
        <v>1995</v>
      </c>
      <c r="R58">
        <v>1</v>
      </c>
      <c r="S58">
        <v>2</v>
      </c>
      <c r="T58">
        <v>1</v>
      </c>
      <c r="U58">
        <v>1</v>
      </c>
      <c r="V58">
        <v>1</v>
      </c>
      <c r="W58">
        <f t="shared" si="14"/>
        <v>6</v>
      </c>
      <c r="Y58" s="4">
        <v>1995</v>
      </c>
      <c r="Z58">
        <v>1</v>
      </c>
      <c r="AE58">
        <f t="shared" si="10"/>
        <v>1</v>
      </c>
      <c r="AG58" s="4">
        <v>1995</v>
      </c>
      <c r="AH58">
        <v>3</v>
      </c>
      <c r="AI58">
        <v>3</v>
      </c>
      <c r="AL58">
        <v>1</v>
      </c>
      <c r="AM58">
        <f t="shared" si="11"/>
        <v>7</v>
      </c>
      <c r="AO58" s="4">
        <v>1995</v>
      </c>
    </row>
    <row r="59" spans="1:41" ht="12.75">
      <c r="A59" s="4">
        <v>1996</v>
      </c>
      <c r="B59">
        <v>139</v>
      </c>
      <c r="C59">
        <v>309</v>
      </c>
      <c r="D59">
        <v>237</v>
      </c>
      <c r="E59">
        <v>239</v>
      </c>
      <c r="F59">
        <v>329</v>
      </c>
      <c r="G59">
        <f t="shared" si="12"/>
        <v>1253</v>
      </c>
      <c r="I59" s="4">
        <v>1996</v>
      </c>
      <c r="J59">
        <v>246</v>
      </c>
      <c r="K59">
        <v>425</v>
      </c>
      <c r="L59">
        <v>397</v>
      </c>
      <c r="M59">
        <v>692</v>
      </c>
      <c r="N59">
        <v>297</v>
      </c>
      <c r="O59">
        <f t="shared" si="13"/>
        <v>2057</v>
      </c>
      <c r="Q59" s="4">
        <v>1996</v>
      </c>
      <c r="R59">
        <v>1</v>
      </c>
      <c r="T59">
        <v>2</v>
      </c>
      <c r="W59">
        <f t="shared" si="14"/>
        <v>3</v>
      </c>
      <c r="Y59" s="4">
        <v>1996</v>
      </c>
      <c r="Z59">
        <v>1</v>
      </c>
      <c r="AE59">
        <f t="shared" si="10"/>
        <v>1</v>
      </c>
      <c r="AG59" s="4">
        <v>1996</v>
      </c>
      <c r="AH59">
        <v>1</v>
      </c>
      <c r="AJ59">
        <v>2</v>
      </c>
      <c r="AK59">
        <v>4</v>
      </c>
      <c r="AL59">
        <v>5</v>
      </c>
      <c r="AM59">
        <f t="shared" si="11"/>
        <v>12</v>
      </c>
      <c r="AO59" s="4">
        <v>1996</v>
      </c>
    </row>
    <row r="60" spans="1:41" ht="12.75">
      <c r="A60" s="4">
        <v>1997</v>
      </c>
      <c r="G60">
        <f t="shared" si="12"/>
        <v>0</v>
      </c>
      <c r="I60" s="4">
        <v>1997</v>
      </c>
      <c r="O60">
        <f t="shared" si="13"/>
        <v>0</v>
      </c>
      <c r="Q60" s="4">
        <v>1997</v>
      </c>
      <c r="W60">
        <f t="shared" si="14"/>
        <v>0</v>
      </c>
      <c r="Y60" s="4">
        <v>1997</v>
      </c>
      <c r="AE60">
        <f t="shared" si="10"/>
        <v>0</v>
      </c>
      <c r="AG60" s="4">
        <v>1997</v>
      </c>
      <c r="AM60">
        <f t="shared" si="11"/>
        <v>0</v>
      </c>
      <c r="AO60" s="4">
        <v>1997</v>
      </c>
    </row>
    <row r="61" spans="1:41" ht="12.75">
      <c r="A61" s="4">
        <v>1998</v>
      </c>
      <c r="B61">
        <v>129</v>
      </c>
      <c r="C61">
        <v>221</v>
      </c>
      <c r="D61">
        <v>255</v>
      </c>
      <c r="E61">
        <v>182</v>
      </c>
      <c r="F61">
        <v>246</v>
      </c>
      <c r="G61">
        <f t="shared" si="12"/>
        <v>1033</v>
      </c>
      <c r="I61" s="4">
        <v>1998</v>
      </c>
      <c r="J61">
        <v>240</v>
      </c>
      <c r="K61">
        <v>302</v>
      </c>
      <c r="L61">
        <v>390</v>
      </c>
      <c r="M61">
        <v>570</v>
      </c>
      <c r="N61">
        <v>204</v>
      </c>
      <c r="O61">
        <f t="shared" si="13"/>
        <v>1706</v>
      </c>
      <c r="Q61" s="4">
        <v>1998</v>
      </c>
      <c r="T61">
        <v>1</v>
      </c>
      <c r="W61">
        <f t="shared" si="14"/>
        <v>1</v>
      </c>
      <c r="Y61" s="4">
        <v>1998</v>
      </c>
      <c r="AC61">
        <v>1</v>
      </c>
      <c r="AE61">
        <f t="shared" si="10"/>
        <v>1</v>
      </c>
      <c r="AG61" s="4">
        <v>1998</v>
      </c>
      <c r="AH61">
        <v>2</v>
      </c>
      <c r="AI61">
        <v>3</v>
      </c>
      <c r="AJ61">
        <v>1</v>
      </c>
      <c r="AL61">
        <v>2</v>
      </c>
      <c r="AM61">
        <f t="shared" si="11"/>
        <v>8</v>
      </c>
      <c r="AO61" s="4">
        <v>1998</v>
      </c>
    </row>
    <row r="62" spans="1:41" ht="12.75">
      <c r="A62" s="4">
        <v>1999</v>
      </c>
      <c r="B62">
        <v>145</v>
      </c>
      <c r="C62">
        <v>255</v>
      </c>
      <c r="D62">
        <v>374</v>
      </c>
      <c r="E62">
        <v>292</v>
      </c>
      <c r="F62">
        <v>350</v>
      </c>
      <c r="G62">
        <f t="shared" si="12"/>
        <v>1416</v>
      </c>
      <c r="I62" s="4">
        <v>1999</v>
      </c>
      <c r="J62">
        <v>254</v>
      </c>
      <c r="K62">
        <v>430</v>
      </c>
      <c r="L62">
        <v>565</v>
      </c>
      <c r="M62">
        <v>892</v>
      </c>
      <c r="N62">
        <v>364</v>
      </c>
      <c r="O62">
        <f t="shared" si="13"/>
        <v>2505</v>
      </c>
      <c r="Q62" s="4">
        <v>1999</v>
      </c>
      <c r="S62">
        <v>1</v>
      </c>
      <c r="W62">
        <f t="shared" si="14"/>
        <v>1</v>
      </c>
      <c r="Y62" s="4">
        <v>1999</v>
      </c>
      <c r="AA62">
        <v>1</v>
      </c>
      <c r="AB62">
        <v>2</v>
      </c>
      <c r="AD62">
        <v>2</v>
      </c>
      <c r="AE62">
        <f>SUM(Z62:AD62)</f>
        <v>5</v>
      </c>
      <c r="AG62" s="4">
        <v>1999</v>
      </c>
      <c r="AH62">
        <v>2</v>
      </c>
      <c r="AI62">
        <v>3</v>
      </c>
      <c r="AJ62">
        <v>5</v>
      </c>
      <c r="AK62">
        <v>4</v>
      </c>
      <c r="AL62">
        <v>5</v>
      </c>
      <c r="AM62">
        <f>SUM(AH62:AL62)</f>
        <v>19</v>
      </c>
      <c r="AO62" s="4">
        <v>1999</v>
      </c>
    </row>
    <row r="63" spans="1:41" ht="12.75">
      <c r="A63" s="4" t="s">
        <v>13</v>
      </c>
      <c r="B63" s="2">
        <f>SUM(B46:B62)</f>
        <v>1625</v>
      </c>
      <c r="C63" s="2">
        <f>SUM(C46:C62)</f>
        <v>4074</v>
      </c>
      <c r="D63" s="2">
        <f>SUM(D46:D62)</f>
        <v>3975</v>
      </c>
      <c r="E63" s="2">
        <f>SUM(E46:E62)</f>
        <v>2718</v>
      </c>
      <c r="F63" s="2">
        <f>SUM(F46:F62)</f>
        <v>7507</v>
      </c>
      <c r="G63">
        <f>SUM(B63:F63)</f>
        <v>19899</v>
      </c>
      <c r="I63" s="4" t="s">
        <v>13</v>
      </c>
      <c r="J63" s="2">
        <f>SUM(J46:J62)</f>
        <v>3143</v>
      </c>
      <c r="K63" s="2">
        <f>SUM(K46:K62)</f>
        <v>7004</v>
      </c>
      <c r="L63" s="2">
        <f>SUM(L46:L62)</f>
        <v>5916</v>
      </c>
      <c r="M63" s="2">
        <f>SUM(M46:M62)</f>
        <v>8460</v>
      </c>
      <c r="N63" s="2">
        <f>SUM(N46:N62)</f>
        <v>6868</v>
      </c>
      <c r="O63">
        <f>SUM(J63:N63)</f>
        <v>31391</v>
      </c>
      <c r="Q63" s="4" t="s">
        <v>13</v>
      </c>
      <c r="R63" s="2">
        <f>SUM(R46:R62)</f>
        <v>3</v>
      </c>
      <c r="S63" s="2">
        <f>SUM(S46:S62)</f>
        <v>7</v>
      </c>
      <c r="T63" s="2">
        <f>SUM(T46:T62)</f>
        <v>6</v>
      </c>
      <c r="U63" s="2">
        <f>SUM(U46:U62)</f>
        <v>3</v>
      </c>
      <c r="V63" s="2">
        <f>SUM(V46:V62)</f>
        <v>2</v>
      </c>
      <c r="W63">
        <f>SUM(R63:V63)</f>
        <v>21</v>
      </c>
      <c r="Y63" s="4" t="s">
        <v>13</v>
      </c>
      <c r="Z63" s="2">
        <f>SUM(Z46:Z62)</f>
        <v>2</v>
      </c>
      <c r="AA63" s="2">
        <f>SUM(AA46:AA62)</f>
        <v>2</v>
      </c>
      <c r="AB63" s="2">
        <f>SUM(AB46:AB62)</f>
        <v>2</v>
      </c>
      <c r="AC63" s="2">
        <f>SUM(AC46:AC62)</f>
        <v>2</v>
      </c>
      <c r="AD63" s="2">
        <f>SUM(AD46:AD62)</f>
        <v>4</v>
      </c>
      <c r="AG63" s="4" t="s">
        <v>13</v>
      </c>
      <c r="AH63" s="2">
        <f>SUM(AH46:AH62)</f>
        <v>14</v>
      </c>
      <c r="AI63" s="2">
        <f>SUM(AI46:AI62)</f>
        <v>24</v>
      </c>
      <c r="AJ63" s="2">
        <f>SUM(AJ46:AJ62)</f>
        <v>17</v>
      </c>
      <c r="AK63" s="2">
        <f>SUM(AK46:AK62)</f>
        <v>16</v>
      </c>
      <c r="AL63" s="2">
        <f>SUM(AL46:AL62)</f>
        <v>40</v>
      </c>
      <c r="AO63" s="4" t="s">
        <v>13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11</v>
      </c>
      <c r="I65" s="4" t="s">
        <v>12</v>
      </c>
      <c r="Q65" s="4" t="s">
        <v>28</v>
      </c>
      <c r="Y65" s="4" t="s">
        <v>29</v>
      </c>
      <c r="AG65" s="4" t="s">
        <v>26</v>
      </c>
      <c r="AO65" s="4" t="s">
        <v>27</v>
      </c>
    </row>
    <row r="66" spans="1:47" ht="12.75">
      <c r="A66" s="4" t="s">
        <v>9</v>
      </c>
      <c r="B66" s="12" t="s">
        <v>0</v>
      </c>
      <c r="C66" s="12" t="s">
        <v>5</v>
      </c>
      <c r="D66" s="12" t="s">
        <v>6</v>
      </c>
      <c r="E66" s="12" t="s">
        <v>1</v>
      </c>
      <c r="F66" s="12" t="s">
        <v>4</v>
      </c>
      <c r="G66" s="12" t="s">
        <v>13</v>
      </c>
      <c r="I66" s="4" t="s">
        <v>9</v>
      </c>
      <c r="J66" s="12" t="s">
        <v>0</v>
      </c>
      <c r="K66" s="12" t="s">
        <v>5</v>
      </c>
      <c r="L66" s="12" t="s">
        <v>6</v>
      </c>
      <c r="M66" s="12" t="s">
        <v>1</v>
      </c>
      <c r="N66" s="12" t="s">
        <v>4</v>
      </c>
      <c r="O66" s="12" t="s">
        <v>13</v>
      </c>
      <c r="Q66" s="4" t="s">
        <v>9</v>
      </c>
      <c r="R66" s="12" t="s">
        <v>0</v>
      </c>
      <c r="S66" s="12" t="s">
        <v>5</v>
      </c>
      <c r="T66" s="12" t="s">
        <v>6</v>
      </c>
      <c r="U66" s="12" t="s">
        <v>1</v>
      </c>
      <c r="V66" s="12" t="s">
        <v>4</v>
      </c>
      <c r="W66" s="12" t="s">
        <v>13</v>
      </c>
      <c r="Y66" s="4" t="s">
        <v>9</v>
      </c>
      <c r="Z66" s="12" t="s">
        <v>0</v>
      </c>
      <c r="AA66" s="12" t="s">
        <v>5</v>
      </c>
      <c r="AB66" s="12" t="s">
        <v>6</v>
      </c>
      <c r="AC66" s="12" t="s">
        <v>1</v>
      </c>
      <c r="AD66" s="12" t="s">
        <v>4</v>
      </c>
      <c r="AE66" s="12" t="s">
        <v>13</v>
      </c>
      <c r="AG66" s="4" t="s">
        <v>9</v>
      </c>
      <c r="AH66" s="12" t="s">
        <v>0</v>
      </c>
      <c r="AI66" s="12" t="s">
        <v>5</v>
      </c>
      <c r="AJ66" s="12" t="s">
        <v>6</v>
      </c>
      <c r="AK66" s="12" t="s">
        <v>1</v>
      </c>
      <c r="AL66" s="12" t="s">
        <v>4</v>
      </c>
      <c r="AM66" s="12" t="s">
        <v>13</v>
      </c>
      <c r="AO66" s="4" t="s">
        <v>9</v>
      </c>
      <c r="AP66" s="12" t="s">
        <v>0</v>
      </c>
      <c r="AQ66" s="12" t="s">
        <v>5</v>
      </c>
      <c r="AR66" s="12" t="s">
        <v>6</v>
      </c>
      <c r="AS66" s="12" t="s">
        <v>1</v>
      </c>
      <c r="AT66" s="12" t="s">
        <v>4</v>
      </c>
      <c r="AU66" s="12" t="s">
        <v>13</v>
      </c>
    </row>
    <row r="67" spans="1:41" ht="12.75">
      <c r="A67" s="4">
        <v>1983</v>
      </c>
      <c r="B67">
        <f aca="true" t="shared" si="15" ref="B67:G67">B46+B25</f>
        <v>122</v>
      </c>
      <c r="C67">
        <f t="shared" si="15"/>
        <v>629</v>
      </c>
      <c r="D67">
        <f t="shared" si="15"/>
        <v>413</v>
      </c>
      <c r="E67">
        <f t="shared" si="15"/>
        <v>173</v>
      </c>
      <c r="F67">
        <f t="shared" si="15"/>
        <v>335</v>
      </c>
      <c r="G67">
        <f t="shared" si="15"/>
        <v>1672</v>
      </c>
      <c r="I67" s="4">
        <v>1983</v>
      </c>
      <c r="J67">
        <f aca="true" t="shared" si="16" ref="J67:O67">J46+J25</f>
        <v>207</v>
      </c>
      <c r="K67">
        <f t="shared" si="16"/>
        <v>895</v>
      </c>
      <c r="L67">
        <f t="shared" si="16"/>
        <v>467</v>
      </c>
      <c r="M67">
        <f t="shared" si="16"/>
        <v>151</v>
      </c>
      <c r="N67">
        <f t="shared" si="16"/>
        <v>201</v>
      </c>
      <c r="O67">
        <f t="shared" si="16"/>
        <v>1921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1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1</v>
      </c>
      <c r="AO67" s="4">
        <v>1983</v>
      </c>
    </row>
    <row r="68" spans="1:41" ht="12.75">
      <c r="A68" s="4">
        <v>1984</v>
      </c>
      <c r="B68">
        <f aca="true" t="shared" si="20" ref="B68:G84">B47+B26</f>
        <v>151</v>
      </c>
      <c r="C68">
        <f t="shared" si="20"/>
        <v>789</v>
      </c>
      <c r="D68">
        <f t="shared" si="20"/>
        <v>574</v>
      </c>
      <c r="E68">
        <f t="shared" si="20"/>
        <v>356</v>
      </c>
      <c r="F68">
        <f t="shared" si="20"/>
        <v>704</v>
      </c>
      <c r="G68">
        <f t="shared" si="20"/>
        <v>2574</v>
      </c>
      <c r="I68" s="4">
        <v>1984</v>
      </c>
      <c r="J68">
        <f aca="true" t="shared" si="21" ref="J68:O68">J47+J26</f>
        <v>211</v>
      </c>
      <c r="K68">
        <f t="shared" si="21"/>
        <v>986</v>
      </c>
      <c r="L68">
        <f t="shared" si="21"/>
        <v>676</v>
      </c>
      <c r="M68">
        <f t="shared" si="21"/>
        <v>297</v>
      </c>
      <c r="N68">
        <f t="shared" si="21"/>
        <v>451</v>
      </c>
      <c r="O68">
        <f t="shared" si="21"/>
        <v>2621</v>
      </c>
      <c r="Q68" s="4">
        <v>1984</v>
      </c>
      <c r="R68">
        <f aca="true" t="shared" si="22" ref="R68:W68">R47+R26</f>
        <v>0</v>
      </c>
      <c r="S68">
        <f t="shared" si="22"/>
        <v>0</v>
      </c>
      <c r="T68">
        <f t="shared" si="22"/>
        <v>0</v>
      </c>
      <c r="U68">
        <f t="shared" si="22"/>
        <v>0</v>
      </c>
      <c r="V68">
        <f t="shared" si="22"/>
        <v>0</v>
      </c>
      <c r="W68">
        <f t="shared" si="22"/>
        <v>0</v>
      </c>
      <c r="Y68" s="4">
        <v>1984</v>
      </c>
      <c r="Z68">
        <f aca="true" t="shared" si="23" ref="Z68:AE68">Z47+Z26</f>
        <v>0</v>
      </c>
      <c r="AA68">
        <f t="shared" si="23"/>
        <v>0</v>
      </c>
      <c r="AB68">
        <f t="shared" si="23"/>
        <v>0</v>
      </c>
      <c r="AC68">
        <f t="shared" si="23"/>
        <v>0</v>
      </c>
      <c r="AD68">
        <f t="shared" si="23"/>
        <v>0</v>
      </c>
      <c r="AE68">
        <f t="shared" si="23"/>
        <v>0</v>
      </c>
      <c r="AG68" s="4">
        <v>1984</v>
      </c>
      <c r="AH68">
        <f aca="true" t="shared" si="24" ref="AH68:AM68">AH47+AH26</f>
        <v>0</v>
      </c>
      <c r="AI68">
        <f t="shared" si="24"/>
        <v>0</v>
      </c>
      <c r="AJ68">
        <f t="shared" si="24"/>
        <v>0</v>
      </c>
      <c r="AK68">
        <f t="shared" si="24"/>
        <v>0</v>
      </c>
      <c r="AL68">
        <f t="shared" si="24"/>
        <v>3</v>
      </c>
      <c r="AM68">
        <f t="shared" si="24"/>
        <v>3</v>
      </c>
      <c r="AO68" s="4">
        <v>1984</v>
      </c>
    </row>
    <row r="69" spans="1:41" ht="12.75">
      <c r="A69" s="4">
        <v>1985</v>
      </c>
      <c r="B69">
        <f t="shared" si="20"/>
        <v>0</v>
      </c>
      <c r="C69">
        <f t="shared" si="20"/>
        <v>0</v>
      </c>
      <c r="D69">
        <f t="shared" si="20"/>
        <v>0</v>
      </c>
      <c r="E69">
        <f t="shared" si="20"/>
        <v>0</v>
      </c>
      <c r="F69">
        <f t="shared" si="20"/>
        <v>0</v>
      </c>
      <c r="G69">
        <f t="shared" si="20"/>
        <v>0</v>
      </c>
      <c r="I69" s="4">
        <v>1985</v>
      </c>
      <c r="J69">
        <f aca="true" t="shared" si="25" ref="J69:O69">J48+J27</f>
        <v>0</v>
      </c>
      <c r="K69">
        <f t="shared" si="25"/>
        <v>0</v>
      </c>
      <c r="L69">
        <f t="shared" si="25"/>
        <v>0</v>
      </c>
      <c r="M69">
        <f t="shared" si="25"/>
        <v>0</v>
      </c>
      <c r="N69">
        <f t="shared" si="25"/>
        <v>0</v>
      </c>
      <c r="O69">
        <f t="shared" si="25"/>
        <v>0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0</v>
      </c>
      <c r="AI69">
        <f t="shared" si="28"/>
        <v>0</v>
      </c>
      <c r="AJ69">
        <f t="shared" si="28"/>
        <v>0</v>
      </c>
      <c r="AK69">
        <f t="shared" si="28"/>
        <v>0</v>
      </c>
      <c r="AL69">
        <f t="shared" si="28"/>
        <v>0</v>
      </c>
      <c r="AM69">
        <f t="shared" si="28"/>
        <v>0</v>
      </c>
      <c r="AO69" s="4">
        <v>1985</v>
      </c>
    </row>
    <row r="70" spans="1:41" ht="12.75">
      <c r="A70" s="4">
        <v>1986</v>
      </c>
      <c r="B70">
        <f t="shared" si="20"/>
        <v>0</v>
      </c>
      <c r="C70">
        <f t="shared" si="20"/>
        <v>0</v>
      </c>
      <c r="D70">
        <f t="shared" si="20"/>
        <v>0</v>
      </c>
      <c r="E70">
        <f t="shared" si="20"/>
        <v>0</v>
      </c>
      <c r="F70">
        <f t="shared" si="20"/>
        <v>0</v>
      </c>
      <c r="G70">
        <f t="shared" si="20"/>
        <v>0</v>
      </c>
      <c r="I70" s="4">
        <v>1986</v>
      </c>
      <c r="J70">
        <f aca="true" t="shared" si="29" ref="J70:O70">J49+J28</f>
        <v>0</v>
      </c>
      <c r="K70">
        <f t="shared" si="29"/>
        <v>0</v>
      </c>
      <c r="L70">
        <f t="shared" si="29"/>
        <v>0</v>
      </c>
      <c r="M70">
        <f t="shared" si="29"/>
        <v>0</v>
      </c>
      <c r="N70">
        <f t="shared" si="29"/>
        <v>0</v>
      </c>
      <c r="O70">
        <f t="shared" si="29"/>
        <v>0</v>
      </c>
      <c r="Q70" s="4">
        <v>1986</v>
      </c>
      <c r="R70">
        <f aca="true" t="shared" si="30" ref="R70:W70">R49+R28</f>
        <v>0</v>
      </c>
      <c r="S70">
        <f t="shared" si="30"/>
        <v>0</v>
      </c>
      <c r="T70">
        <f t="shared" si="30"/>
        <v>0</v>
      </c>
      <c r="U70">
        <f t="shared" si="30"/>
        <v>0</v>
      </c>
      <c r="V70">
        <f t="shared" si="30"/>
        <v>0</v>
      </c>
      <c r="W70">
        <f t="shared" si="30"/>
        <v>0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0</v>
      </c>
      <c r="AE70">
        <f t="shared" si="31"/>
        <v>0</v>
      </c>
      <c r="AG70" s="4">
        <v>1986</v>
      </c>
      <c r="AH70">
        <f aca="true" t="shared" si="32" ref="AH70:AM70">AH49+AH28</f>
        <v>0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0</v>
      </c>
      <c r="AM70">
        <f t="shared" si="32"/>
        <v>0</v>
      </c>
      <c r="AO70" s="4">
        <v>1986</v>
      </c>
    </row>
    <row r="71" spans="1:41" ht="12.75">
      <c r="A71" s="4">
        <v>1987</v>
      </c>
      <c r="B71">
        <f t="shared" si="20"/>
        <v>21</v>
      </c>
      <c r="C71">
        <f t="shared" si="20"/>
        <v>0</v>
      </c>
      <c r="D71">
        <f t="shared" si="20"/>
        <v>0</v>
      </c>
      <c r="E71">
        <f t="shared" si="20"/>
        <v>0</v>
      </c>
      <c r="F71">
        <f t="shared" si="20"/>
        <v>2398</v>
      </c>
      <c r="G71">
        <f t="shared" si="20"/>
        <v>2419</v>
      </c>
      <c r="I71" s="4">
        <v>1987</v>
      </c>
      <c r="J71">
        <f aca="true" t="shared" si="33" ref="J71:O71">J50+J29</f>
        <v>48</v>
      </c>
      <c r="K71">
        <f t="shared" si="33"/>
        <v>0</v>
      </c>
      <c r="L71">
        <f t="shared" si="33"/>
        <v>0</v>
      </c>
      <c r="M71">
        <f t="shared" si="33"/>
        <v>0</v>
      </c>
      <c r="N71">
        <f t="shared" si="33"/>
        <v>3124</v>
      </c>
      <c r="O71">
        <f t="shared" si="33"/>
        <v>3172</v>
      </c>
      <c r="Q71" s="4">
        <v>1987</v>
      </c>
      <c r="R71">
        <f aca="true" t="shared" si="34" ref="R71:W71">R50+R29</f>
        <v>0</v>
      </c>
      <c r="S71">
        <f t="shared" si="34"/>
        <v>0</v>
      </c>
      <c r="T71">
        <f t="shared" si="34"/>
        <v>0</v>
      </c>
      <c r="U71">
        <f t="shared" si="34"/>
        <v>0</v>
      </c>
      <c r="V71">
        <f t="shared" si="34"/>
        <v>0</v>
      </c>
      <c r="W71">
        <f t="shared" si="34"/>
        <v>0</v>
      </c>
      <c r="Y71" s="4">
        <v>1987</v>
      </c>
      <c r="Z71">
        <f aca="true" t="shared" si="35" ref="Z71:AE71">Z50+Z29</f>
        <v>0</v>
      </c>
      <c r="AA71">
        <f t="shared" si="35"/>
        <v>0</v>
      </c>
      <c r="AB71">
        <f t="shared" si="35"/>
        <v>0</v>
      </c>
      <c r="AC71">
        <f t="shared" si="35"/>
        <v>0</v>
      </c>
      <c r="AD71">
        <f t="shared" si="35"/>
        <v>0</v>
      </c>
      <c r="AE71">
        <f t="shared" si="35"/>
        <v>0</v>
      </c>
      <c r="AG71" s="4">
        <v>1987</v>
      </c>
      <c r="AH71">
        <f aca="true" t="shared" si="36" ref="AH71:AM71">AH50+AH29</f>
        <v>0</v>
      </c>
      <c r="AI71">
        <f t="shared" si="36"/>
        <v>0</v>
      </c>
      <c r="AJ71">
        <f t="shared" si="36"/>
        <v>0</v>
      </c>
      <c r="AK71">
        <f t="shared" si="36"/>
        <v>0</v>
      </c>
      <c r="AL71">
        <f t="shared" si="36"/>
        <v>0</v>
      </c>
      <c r="AM71">
        <f t="shared" si="36"/>
        <v>0</v>
      </c>
      <c r="AO71" s="4">
        <v>1987</v>
      </c>
    </row>
    <row r="72" spans="1:41" ht="12.75">
      <c r="A72" s="4">
        <v>1988</v>
      </c>
      <c r="B72">
        <f t="shared" si="20"/>
        <v>196</v>
      </c>
      <c r="C72">
        <f t="shared" si="20"/>
        <v>697</v>
      </c>
      <c r="D72">
        <f t="shared" si="20"/>
        <v>468</v>
      </c>
      <c r="E72">
        <f t="shared" si="20"/>
        <v>223</v>
      </c>
      <c r="F72">
        <f t="shared" si="20"/>
        <v>2062</v>
      </c>
      <c r="G72">
        <f t="shared" si="20"/>
        <v>3646</v>
      </c>
      <c r="I72" s="4">
        <v>1988</v>
      </c>
      <c r="J72">
        <f aca="true" t="shared" si="37" ref="J72:O72">J51+J30</f>
        <v>390</v>
      </c>
      <c r="K72">
        <f t="shared" si="37"/>
        <v>1439</v>
      </c>
      <c r="L72">
        <f t="shared" si="37"/>
        <v>818</v>
      </c>
      <c r="M72">
        <f t="shared" si="37"/>
        <v>566</v>
      </c>
      <c r="N72">
        <f t="shared" si="37"/>
        <v>2488</v>
      </c>
      <c r="O72">
        <f t="shared" si="37"/>
        <v>5701</v>
      </c>
      <c r="Q72" s="4">
        <v>1988</v>
      </c>
      <c r="R72">
        <f aca="true" t="shared" si="38" ref="R72:W72">R51+R30</f>
        <v>0</v>
      </c>
      <c r="S72">
        <f t="shared" si="38"/>
        <v>0</v>
      </c>
      <c r="T72">
        <f t="shared" si="38"/>
        <v>1</v>
      </c>
      <c r="U72">
        <f t="shared" si="38"/>
        <v>0</v>
      </c>
      <c r="V72">
        <f t="shared" si="38"/>
        <v>1</v>
      </c>
      <c r="W72">
        <f t="shared" si="38"/>
        <v>2</v>
      </c>
      <c r="Y72" s="4">
        <v>1988</v>
      </c>
      <c r="Z72">
        <f aca="true" t="shared" si="39" ref="Z72:AE72">Z51+Z30</f>
        <v>0</v>
      </c>
      <c r="AA72">
        <f t="shared" si="39"/>
        <v>0</v>
      </c>
      <c r="AB72">
        <f t="shared" si="39"/>
        <v>0</v>
      </c>
      <c r="AC72">
        <f t="shared" si="39"/>
        <v>0</v>
      </c>
      <c r="AD72">
        <f t="shared" si="39"/>
        <v>0</v>
      </c>
      <c r="AE72">
        <f t="shared" si="39"/>
        <v>0</v>
      </c>
      <c r="AG72" s="4">
        <v>1988</v>
      </c>
      <c r="AH72">
        <f aca="true" t="shared" si="40" ref="AH72:AM72">AH51+AH30</f>
        <v>0</v>
      </c>
      <c r="AI72">
        <f t="shared" si="40"/>
        <v>7</v>
      </c>
      <c r="AJ72">
        <f t="shared" si="40"/>
        <v>3</v>
      </c>
      <c r="AK72">
        <f t="shared" si="40"/>
        <v>1</v>
      </c>
      <c r="AL72">
        <f t="shared" si="40"/>
        <v>12</v>
      </c>
      <c r="AM72">
        <f t="shared" si="40"/>
        <v>23</v>
      </c>
      <c r="AO72" s="4">
        <v>1988</v>
      </c>
    </row>
    <row r="73" spans="1:41" ht="12.75">
      <c r="A73" s="4">
        <v>1989</v>
      </c>
      <c r="B73">
        <f t="shared" si="20"/>
        <v>237</v>
      </c>
      <c r="C73">
        <f t="shared" si="20"/>
        <v>801</v>
      </c>
      <c r="D73">
        <f t="shared" si="20"/>
        <v>462</v>
      </c>
      <c r="E73">
        <f t="shared" si="20"/>
        <v>286</v>
      </c>
      <c r="F73">
        <f t="shared" si="20"/>
        <v>649</v>
      </c>
      <c r="G73">
        <f t="shared" si="20"/>
        <v>2435</v>
      </c>
      <c r="I73" s="4">
        <v>1989</v>
      </c>
      <c r="J73">
        <f aca="true" t="shared" si="41" ref="J73:O73">J52+J31</f>
        <v>458</v>
      </c>
      <c r="K73">
        <f t="shared" si="41"/>
        <v>1745</v>
      </c>
      <c r="L73">
        <f t="shared" si="41"/>
        <v>838</v>
      </c>
      <c r="M73">
        <f t="shared" si="41"/>
        <v>929</v>
      </c>
      <c r="N73">
        <f t="shared" si="41"/>
        <v>479</v>
      </c>
      <c r="O73">
        <f t="shared" si="41"/>
        <v>4449</v>
      </c>
      <c r="Q73" s="4">
        <v>1989</v>
      </c>
      <c r="R73">
        <f aca="true" t="shared" si="42" ref="R73:W73">R52+R31</f>
        <v>0</v>
      </c>
      <c r="S73">
        <f t="shared" si="42"/>
        <v>0</v>
      </c>
      <c r="T73">
        <f t="shared" si="42"/>
        <v>0</v>
      </c>
      <c r="U73">
        <f t="shared" si="42"/>
        <v>0</v>
      </c>
      <c r="V73">
        <f t="shared" si="42"/>
        <v>0</v>
      </c>
      <c r="W73">
        <f t="shared" si="42"/>
        <v>0</v>
      </c>
      <c r="Y73" s="4">
        <v>1989</v>
      </c>
      <c r="Z73">
        <f aca="true" t="shared" si="43" ref="Z73:AE73">Z52+Z31</f>
        <v>0</v>
      </c>
      <c r="AA73">
        <f t="shared" si="43"/>
        <v>0</v>
      </c>
      <c r="AB73">
        <f t="shared" si="43"/>
        <v>0</v>
      </c>
      <c r="AC73">
        <f t="shared" si="43"/>
        <v>0</v>
      </c>
      <c r="AD73">
        <f t="shared" si="43"/>
        <v>0</v>
      </c>
      <c r="AE73">
        <f t="shared" si="43"/>
        <v>0</v>
      </c>
      <c r="AG73" s="4">
        <v>1989</v>
      </c>
      <c r="AH73">
        <f aca="true" t="shared" si="44" ref="AH73:AM73">AH52+AH31</f>
        <v>3</v>
      </c>
      <c r="AI73">
        <f t="shared" si="44"/>
        <v>3</v>
      </c>
      <c r="AJ73">
        <f t="shared" si="44"/>
        <v>0</v>
      </c>
      <c r="AK73">
        <f t="shared" si="44"/>
        <v>2</v>
      </c>
      <c r="AL73">
        <f t="shared" si="44"/>
        <v>3</v>
      </c>
      <c r="AM73">
        <f t="shared" si="44"/>
        <v>11</v>
      </c>
      <c r="AO73" s="4">
        <v>1989</v>
      </c>
    </row>
    <row r="74" spans="1:41" ht="12.75">
      <c r="A74" s="4">
        <v>1990</v>
      </c>
      <c r="B74">
        <f t="shared" si="20"/>
        <v>245</v>
      </c>
      <c r="C74">
        <f t="shared" si="20"/>
        <v>855</v>
      </c>
      <c r="D74">
        <f t="shared" si="20"/>
        <v>571</v>
      </c>
      <c r="E74">
        <f t="shared" si="20"/>
        <v>301</v>
      </c>
      <c r="F74">
        <f t="shared" si="20"/>
        <v>797</v>
      </c>
      <c r="G74">
        <f t="shared" si="20"/>
        <v>2769</v>
      </c>
      <c r="I74" s="4">
        <v>1990</v>
      </c>
      <c r="J74">
        <f aca="true" t="shared" si="45" ref="J74:O74">J53+J32</f>
        <v>520</v>
      </c>
      <c r="K74">
        <f t="shared" si="45"/>
        <v>1950</v>
      </c>
      <c r="L74">
        <f t="shared" si="45"/>
        <v>1010</v>
      </c>
      <c r="M74">
        <f t="shared" si="45"/>
        <v>1330</v>
      </c>
      <c r="N74">
        <f t="shared" si="45"/>
        <v>602</v>
      </c>
      <c r="O74">
        <f t="shared" si="45"/>
        <v>5412</v>
      </c>
      <c r="Q74" s="4">
        <v>1990</v>
      </c>
      <c r="R74">
        <f aca="true" t="shared" si="46" ref="R74:W74">R53+R32</f>
        <v>0</v>
      </c>
      <c r="S74">
        <f t="shared" si="46"/>
        <v>1</v>
      </c>
      <c r="T74">
        <f t="shared" si="46"/>
        <v>0</v>
      </c>
      <c r="U74">
        <f t="shared" si="46"/>
        <v>0</v>
      </c>
      <c r="V74">
        <f t="shared" si="46"/>
        <v>1</v>
      </c>
      <c r="W74">
        <f t="shared" si="46"/>
        <v>2</v>
      </c>
      <c r="Y74" s="4">
        <v>1990</v>
      </c>
      <c r="Z74">
        <f aca="true" t="shared" si="47" ref="Z74:AE74">Z53+Z32</f>
        <v>0</v>
      </c>
      <c r="AA74">
        <f t="shared" si="47"/>
        <v>1</v>
      </c>
      <c r="AB74">
        <f t="shared" si="47"/>
        <v>0</v>
      </c>
      <c r="AC74">
        <f t="shared" si="47"/>
        <v>0</v>
      </c>
      <c r="AD74">
        <f t="shared" si="47"/>
        <v>1</v>
      </c>
      <c r="AE74">
        <f t="shared" si="47"/>
        <v>2</v>
      </c>
      <c r="AG74" s="4">
        <v>1990</v>
      </c>
      <c r="AH74">
        <f aca="true" t="shared" si="48" ref="AH74:AM74">AH53+AH32</f>
        <v>0</v>
      </c>
      <c r="AI74">
        <f t="shared" si="48"/>
        <v>4</v>
      </c>
      <c r="AJ74">
        <f t="shared" si="48"/>
        <v>2</v>
      </c>
      <c r="AK74">
        <f t="shared" si="48"/>
        <v>2</v>
      </c>
      <c r="AL74">
        <f t="shared" si="48"/>
        <v>2</v>
      </c>
      <c r="AM74">
        <f t="shared" si="48"/>
        <v>10</v>
      </c>
      <c r="AO74" s="4">
        <v>1990</v>
      </c>
    </row>
    <row r="75" spans="1:41" ht="12.75">
      <c r="A75" s="4">
        <v>1991</v>
      </c>
      <c r="B75">
        <f t="shared" si="20"/>
        <v>241</v>
      </c>
      <c r="C75">
        <f t="shared" si="20"/>
        <v>829</v>
      </c>
      <c r="D75">
        <f t="shared" si="20"/>
        <v>565</v>
      </c>
      <c r="E75">
        <f t="shared" si="20"/>
        <v>352</v>
      </c>
      <c r="F75">
        <f t="shared" si="20"/>
        <v>730</v>
      </c>
      <c r="G75">
        <f t="shared" si="20"/>
        <v>2717</v>
      </c>
      <c r="I75" s="4">
        <v>1991</v>
      </c>
      <c r="J75">
        <f aca="true" t="shared" si="49" ref="J75:O75">J54+J33</f>
        <v>571</v>
      </c>
      <c r="K75">
        <f t="shared" si="49"/>
        <v>1888</v>
      </c>
      <c r="L75">
        <f t="shared" si="49"/>
        <v>914</v>
      </c>
      <c r="M75">
        <f t="shared" si="49"/>
        <v>1596</v>
      </c>
      <c r="N75">
        <f t="shared" si="49"/>
        <v>636</v>
      </c>
      <c r="O75">
        <f t="shared" si="49"/>
        <v>5605</v>
      </c>
      <c r="Q75" s="4">
        <v>1991</v>
      </c>
      <c r="R75">
        <f aca="true" t="shared" si="50" ref="R75:W75">R54+R33</f>
        <v>0</v>
      </c>
      <c r="S75">
        <f t="shared" si="50"/>
        <v>0</v>
      </c>
      <c r="T75">
        <f t="shared" si="50"/>
        <v>1</v>
      </c>
      <c r="U75">
        <f t="shared" si="50"/>
        <v>0</v>
      </c>
      <c r="V75">
        <f t="shared" si="50"/>
        <v>0</v>
      </c>
      <c r="W75">
        <f t="shared" si="50"/>
        <v>1</v>
      </c>
      <c r="Y75" s="4">
        <v>1991</v>
      </c>
      <c r="Z75">
        <f aca="true" t="shared" si="51" ref="Z75:AE75">Z54+Z33</f>
        <v>0</v>
      </c>
      <c r="AA75">
        <f t="shared" si="51"/>
        <v>0</v>
      </c>
      <c r="AB75">
        <f t="shared" si="51"/>
        <v>0</v>
      </c>
      <c r="AC75">
        <f t="shared" si="51"/>
        <v>0</v>
      </c>
      <c r="AD75">
        <f t="shared" si="51"/>
        <v>0</v>
      </c>
      <c r="AE75">
        <f t="shared" si="51"/>
        <v>0</v>
      </c>
      <c r="AG75" s="4">
        <v>1991</v>
      </c>
      <c r="AH75">
        <f aca="true" t="shared" si="52" ref="AH75:AM75">AH54+AH33</f>
        <v>2</v>
      </c>
      <c r="AI75">
        <f t="shared" si="52"/>
        <v>9</v>
      </c>
      <c r="AJ75">
        <f t="shared" si="52"/>
        <v>4</v>
      </c>
      <c r="AK75">
        <f t="shared" si="52"/>
        <v>2</v>
      </c>
      <c r="AL75">
        <f t="shared" si="52"/>
        <v>6</v>
      </c>
      <c r="AM75">
        <f t="shared" si="52"/>
        <v>23</v>
      </c>
      <c r="AO75" s="4">
        <v>1991</v>
      </c>
    </row>
    <row r="76" spans="1:41" ht="12.75">
      <c r="A76" s="4">
        <v>1992</v>
      </c>
      <c r="B76">
        <f t="shared" si="20"/>
        <v>284</v>
      </c>
      <c r="C76">
        <f t="shared" si="20"/>
        <v>798</v>
      </c>
      <c r="D76">
        <f t="shared" si="20"/>
        <v>550</v>
      </c>
      <c r="E76">
        <f t="shared" si="20"/>
        <v>341</v>
      </c>
      <c r="F76">
        <f t="shared" si="20"/>
        <v>741</v>
      </c>
      <c r="G76">
        <f t="shared" si="20"/>
        <v>2714</v>
      </c>
      <c r="I76" s="4">
        <v>1992</v>
      </c>
      <c r="J76">
        <f aca="true" t="shared" si="53" ref="J76:O76">J55+J34</f>
        <v>619</v>
      </c>
      <c r="K76">
        <f t="shared" si="53"/>
        <v>1792</v>
      </c>
      <c r="L76">
        <f t="shared" si="53"/>
        <v>838</v>
      </c>
      <c r="M76">
        <f t="shared" si="53"/>
        <v>1781</v>
      </c>
      <c r="N76">
        <f t="shared" si="53"/>
        <v>567</v>
      </c>
      <c r="O76">
        <f t="shared" si="53"/>
        <v>5597</v>
      </c>
      <c r="Q76" s="4">
        <v>1992</v>
      </c>
      <c r="R76">
        <f aca="true" t="shared" si="54" ref="R76:W76">R55+R34</f>
        <v>1</v>
      </c>
      <c r="S76">
        <f t="shared" si="54"/>
        <v>2</v>
      </c>
      <c r="T76">
        <f t="shared" si="54"/>
        <v>0</v>
      </c>
      <c r="U76">
        <f t="shared" si="54"/>
        <v>0</v>
      </c>
      <c r="V76">
        <f t="shared" si="54"/>
        <v>0</v>
      </c>
      <c r="W76">
        <f t="shared" si="54"/>
        <v>3</v>
      </c>
      <c r="Y76" s="4">
        <v>1992</v>
      </c>
      <c r="Z76">
        <f aca="true" t="shared" si="55" ref="Z76:AE76">Z55+Z34</f>
        <v>0</v>
      </c>
      <c r="AA76">
        <f t="shared" si="55"/>
        <v>1</v>
      </c>
      <c r="AB76">
        <f t="shared" si="55"/>
        <v>1</v>
      </c>
      <c r="AC76">
        <f t="shared" si="55"/>
        <v>1</v>
      </c>
      <c r="AD76">
        <f t="shared" si="55"/>
        <v>1</v>
      </c>
      <c r="AE76">
        <f t="shared" si="55"/>
        <v>4</v>
      </c>
      <c r="AG76" s="4">
        <v>1992</v>
      </c>
      <c r="AH76">
        <f aca="true" t="shared" si="56" ref="AH76:AM76">AH55+AH34</f>
        <v>0</v>
      </c>
      <c r="AI76">
        <f t="shared" si="56"/>
        <v>0</v>
      </c>
      <c r="AJ76">
        <f t="shared" si="56"/>
        <v>0</v>
      </c>
      <c r="AK76">
        <f t="shared" si="56"/>
        <v>0</v>
      </c>
      <c r="AL76">
        <f t="shared" si="56"/>
        <v>0</v>
      </c>
      <c r="AM76">
        <f t="shared" si="56"/>
        <v>0</v>
      </c>
      <c r="AO76" s="4">
        <v>1992</v>
      </c>
    </row>
    <row r="77" spans="1:41" ht="12.75">
      <c r="A77" s="4">
        <v>1993</v>
      </c>
      <c r="B77">
        <f t="shared" si="20"/>
        <v>226</v>
      </c>
      <c r="C77">
        <f t="shared" si="20"/>
        <v>700</v>
      </c>
      <c r="D77">
        <f t="shared" si="20"/>
        <v>403</v>
      </c>
      <c r="E77">
        <f t="shared" si="20"/>
        <v>289</v>
      </c>
      <c r="F77">
        <f t="shared" si="20"/>
        <v>539</v>
      </c>
      <c r="G77">
        <f t="shared" si="20"/>
        <v>2157</v>
      </c>
      <c r="I77" s="4">
        <v>1993</v>
      </c>
      <c r="J77">
        <f aca="true" t="shared" si="57" ref="J77:O77">J56+J35</f>
        <v>622</v>
      </c>
      <c r="K77">
        <f t="shared" si="57"/>
        <v>1540</v>
      </c>
      <c r="L77">
        <f t="shared" si="57"/>
        <v>655</v>
      </c>
      <c r="M77">
        <f t="shared" si="57"/>
        <v>1416</v>
      </c>
      <c r="N77">
        <f t="shared" si="57"/>
        <v>495</v>
      </c>
      <c r="O77">
        <f t="shared" si="57"/>
        <v>4728</v>
      </c>
      <c r="Q77" s="4">
        <v>1993</v>
      </c>
      <c r="R77">
        <f aca="true" t="shared" si="58" ref="R77:W77">R56+R35</f>
        <v>0</v>
      </c>
      <c r="S77">
        <f t="shared" si="58"/>
        <v>1</v>
      </c>
      <c r="T77">
        <f t="shared" si="58"/>
        <v>0</v>
      </c>
      <c r="U77">
        <f t="shared" si="58"/>
        <v>2</v>
      </c>
      <c r="V77">
        <f t="shared" si="58"/>
        <v>0</v>
      </c>
      <c r="W77">
        <f t="shared" si="58"/>
        <v>3</v>
      </c>
      <c r="Y77" s="4">
        <v>1993</v>
      </c>
      <c r="Z77">
        <f aca="true" t="shared" si="59" ref="Z77:AE77">Z56+Z35</f>
        <v>0</v>
      </c>
      <c r="AA77">
        <f t="shared" si="59"/>
        <v>0</v>
      </c>
      <c r="AB77">
        <f t="shared" si="59"/>
        <v>1</v>
      </c>
      <c r="AC77">
        <f t="shared" si="59"/>
        <v>0</v>
      </c>
      <c r="AD77">
        <f t="shared" si="59"/>
        <v>0</v>
      </c>
      <c r="AE77">
        <f t="shared" si="59"/>
        <v>1</v>
      </c>
      <c r="AG77" s="4">
        <v>1993</v>
      </c>
      <c r="AH77">
        <f aca="true" t="shared" si="60" ref="AH77:AM77">AH56+AH35</f>
        <v>2</v>
      </c>
      <c r="AI77">
        <f t="shared" si="60"/>
        <v>7</v>
      </c>
      <c r="AJ77">
        <f t="shared" si="60"/>
        <v>1</v>
      </c>
      <c r="AK77">
        <f t="shared" si="60"/>
        <v>5</v>
      </c>
      <c r="AL77">
        <f t="shared" si="60"/>
        <v>5</v>
      </c>
      <c r="AM77">
        <f t="shared" si="60"/>
        <v>20</v>
      </c>
      <c r="AO77" s="4">
        <v>1993</v>
      </c>
    </row>
    <row r="78" spans="1:41" ht="12.75">
      <c r="A78" s="4">
        <v>1994</v>
      </c>
      <c r="B78">
        <f t="shared" si="20"/>
        <v>267</v>
      </c>
      <c r="C78">
        <f t="shared" si="20"/>
        <v>628</v>
      </c>
      <c r="D78">
        <f t="shared" si="20"/>
        <v>394</v>
      </c>
      <c r="E78">
        <f t="shared" si="20"/>
        <v>279</v>
      </c>
      <c r="F78">
        <f t="shared" si="20"/>
        <v>554</v>
      </c>
      <c r="G78">
        <f t="shared" si="20"/>
        <v>2122</v>
      </c>
      <c r="I78" s="4">
        <v>1994</v>
      </c>
      <c r="J78">
        <f aca="true" t="shared" si="61" ref="J78:O78">J57+J36</f>
        <v>557</v>
      </c>
      <c r="K78">
        <f t="shared" si="61"/>
        <v>1444</v>
      </c>
      <c r="L78">
        <f t="shared" si="61"/>
        <v>618</v>
      </c>
      <c r="M78">
        <f t="shared" si="61"/>
        <v>1414</v>
      </c>
      <c r="N78">
        <f t="shared" si="61"/>
        <v>505</v>
      </c>
      <c r="O78">
        <f t="shared" si="61"/>
        <v>4538</v>
      </c>
      <c r="Q78" s="4">
        <v>1994</v>
      </c>
      <c r="R78">
        <f aca="true" t="shared" si="62" ref="R78:W78">R57+R36</f>
        <v>0</v>
      </c>
      <c r="S78">
        <f t="shared" si="62"/>
        <v>2</v>
      </c>
      <c r="T78">
        <f t="shared" si="62"/>
        <v>0</v>
      </c>
      <c r="U78">
        <f t="shared" si="62"/>
        <v>0</v>
      </c>
      <c r="V78">
        <f t="shared" si="62"/>
        <v>0</v>
      </c>
      <c r="W78">
        <f t="shared" si="62"/>
        <v>2</v>
      </c>
      <c r="Y78" s="4">
        <v>1994</v>
      </c>
      <c r="Z78">
        <f aca="true" t="shared" si="63" ref="Z78:AE78">Z57+Z36</f>
        <v>0</v>
      </c>
      <c r="AA78">
        <f t="shared" si="63"/>
        <v>0</v>
      </c>
      <c r="AB78">
        <f t="shared" si="63"/>
        <v>0</v>
      </c>
      <c r="AC78">
        <f t="shared" si="63"/>
        <v>0</v>
      </c>
      <c r="AD78">
        <f t="shared" si="63"/>
        <v>0</v>
      </c>
      <c r="AE78">
        <f t="shared" si="63"/>
        <v>0</v>
      </c>
      <c r="AG78" s="4">
        <v>1994</v>
      </c>
      <c r="AH78">
        <f aca="true" t="shared" si="64" ref="AH78:AM78">AH57+AH36</f>
        <v>6</v>
      </c>
      <c r="AI78">
        <f t="shared" si="64"/>
        <v>7</v>
      </c>
      <c r="AJ78">
        <f t="shared" si="64"/>
        <v>4</v>
      </c>
      <c r="AK78">
        <f t="shared" si="64"/>
        <v>3</v>
      </c>
      <c r="AL78">
        <f t="shared" si="64"/>
        <v>7</v>
      </c>
      <c r="AM78">
        <f t="shared" si="64"/>
        <v>27</v>
      </c>
      <c r="AO78" s="4">
        <v>1994</v>
      </c>
    </row>
    <row r="79" spans="1:41" ht="12.75">
      <c r="A79" s="4">
        <v>1995</v>
      </c>
      <c r="B79">
        <f t="shared" si="20"/>
        <v>256</v>
      </c>
      <c r="C79">
        <f t="shared" si="20"/>
        <v>601</v>
      </c>
      <c r="D79">
        <f t="shared" si="20"/>
        <v>427</v>
      </c>
      <c r="E79">
        <f t="shared" si="20"/>
        <v>313</v>
      </c>
      <c r="F79">
        <f t="shared" si="20"/>
        <v>504</v>
      </c>
      <c r="G79">
        <f t="shared" si="20"/>
        <v>2101</v>
      </c>
      <c r="I79" s="4">
        <v>1995</v>
      </c>
      <c r="J79">
        <f aca="true" t="shared" si="65" ref="J79:O79">J58+J37</f>
        <v>585</v>
      </c>
      <c r="K79">
        <f t="shared" si="65"/>
        <v>1402</v>
      </c>
      <c r="L79">
        <f t="shared" si="65"/>
        <v>650</v>
      </c>
      <c r="M79">
        <f t="shared" si="65"/>
        <v>1574</v>
      </c>
      <c r="N79">
        <f t="shared" si="65"/>
        <v>528</v>
      </c>
      <c r="O79">
        <f t="shared" si="65"/>
        <v>4739</v>
      </c>
      <c r="Q79" s="4">
        <v>1995</v>
      </c>
      <c r="R79">
        <f aca="true" t="shared" si="66" ref="R79:W79">R58+R37</f>
        <v>1</v>
      </c>
      <c r="S79">
        <f t="shared" si="66"/>
        <v>4</v>
      </c>
      <c r="T79">
        <f t="shared" si="66"/>
        <v>1</v>
      </c>
      <c r="U79">
        <f t="shared" si="66"/>
        <v>1</v>
      </c>
      <c r="V79">
        <f t="shared" si="66"/>
        <v>1</v>
      </c>
      <c r="W79">
        <f t="shared" si="66"/>
        <v>8</v>
      </c>
      <c r="Y79" s="4">
        <v>1995</v>
      </c>
      <c r="Z79">
        <f aca="true" t="shared" si="67" ref="Z79:AE79">Z58+Z37</f>
        <v>1</v>
      </c>
      <c r="AA79">
        <f t="shared" si="67"/>
        <v>0</v>
      </c>
      <c r="AB79">
        <f t="shared" si="67"/>
        <v>0</v>
      </c>
      <c r="AC79">
        <f t="shared" si="67"/>
        <v>0</v>
      </c>
      <c r="AD79">
        <f t="shared" si="67"/>
        <v>1</v>
      </c>
      <c r="AE79">
        <f t="shared" si="67"/>
        <v>2</v>
      </c>
      <c r="AG79" s="4">
        <v>1995</v>
      </c>
      <c r="AH79">
        <f aca="true" t="shared" si="68" ref="AH79:AM79">AH58+AH37</f>
        <v>4</v>
      </c>
      <c r="AI79">
        <f t="shared" si="68"/>
        <v>5</v>
      </c>
      <c r="AJ79">
        <f t="shared" si="68"/>
        <v>3</v>
      </c>
      <c r="AK79">
        <f t="shared" si="68"/>
        <v>4</v>
      </c>
      <c r="AL79">
        <f t="shared" si="68"/>
        <v>3</v>
      </c>
      <c r="AM79">
        <f t="shared" si="68"/>
        <v>19</v>
      </c>
      <c r="AO79" s="4">
        <v>1995</v>
      </c>
    </row>
    <row r="80" spans="1:41" ht="12.75">
      <c r="A80" s="4">
        <v>1996</v>
      </c>
      <c r="B80">
        <f t="shared" si="20"/>
        <v>392</v>
      </c>
      <c r="C80">
        <f t="shared" si="20"/>
        <v>792</v>
      </c>
      <c r="D80">
        <f t="shared" si="20"/>
        <v>534</v>
      </c>
      <c r="E80">
        <f t="shared" si="20"/>
        <v>489</v>
      </c>
      <c r="F80">
        <f t="shared" si="20"/>
        <v>692</v>
      </c>
      <c r="G80">
        <f t="shared" si="20"/>
        <v>2899</v>
      </c>
      <c r="I80" s="4">
        <v>1996</v>
      </c>
      <c r="J80">
        <f aca="true" t="shared" si="69" ref="J80:O80">J59+J38</f>
        <v>749</v>
      </c>
      <c r="K80">
        <f t="shared" si="69"/>
        <v>1587</v>
      </c>
      <c r="L80">
        <f t="shared" si="69"/>
        <v>978</v>
      </c>
      <c r="M80">
        <f t="shared" si="69"/>
        <v>2000</v>
      </c>
      <c r="N80">
        <f t="shared" si="69"/>
        <v>672</v>
      </c>
      <c r="O80">
        <f t="shared" si="69"/>
        <v>5986</v>
      </c>
      <c r="Q80" s="4">
        <v>1996</v>
      </c>
      <c r="R80">
        <f aca="true" t="shared" si="70" ref="R80:W80">R59+R38</f>
        <v>2</v>
      </c>
      <c r="S80">
        <f t="shared" si="70"/>
        <v>1</v>
      </c>
      <c r="T80">
        <f t="shared" si="70"/>
        <v>2</v>
      </c>
      <c r="U80">
        <f t="shared" si="70"/>
        <v>2</v>
      </c>
      <c r="V80">
        <f t="shared" si="70"/>
        <v>2</v>
      </c>
      <c r="W80">
        <f t="shared" si="70"/>
        <v>9</v>
      </c>
      <c r="Y80" s="4">
        <v>1996</v>
      </c>
      <c r="Z80">
        <f aca="true" t="shared" si="71" ref="Z80:AE80">Z59+Z38</f>
        <v>1</v>
      </c>
      <c r="AA80">
        <f t="shared" si="71"/>
        <v>0</v>
      </c>
      <c r="AB80">
        <f t="shared" si="71"/>
        <v>0</v>
      </c>
      <c r="AC80">
        <f t="shared" si="71"/>
        <v>0</v>
      </c>
      <c r="AD80">
        <f t="shared" si="71"/>
        <v>0</v>
      </c>
      <c r="AE80">
        <f t="shared" si="71"/>
        <v>1</v>
      </c>
      <c r="AG80" s="4">
        <v>1996</v>
      </c>
      <c r="AH80">
        <f aca="true" t="shared" si="72" ref="AH80:AM80">AH59+AH38</f>
        <v>3</v>
      </c>
      <c r="AI80">
        <f t="shared" si="72"/>
        <v>4</v>
      </c>
      <c r="AJ80">
        <f t="shared" si="72"/>
        <v>2</v>
      </c>
      <c r="AK80">
        <f t="shared" si="72"/>
        <v>8</v>
      </c>
      <c r="AL80">
        <f t="shared" si="72"/>
        <v>7</v>
      </c>
      <c r="AM80">
        <f t="shared" si="72"/>
        <v>24</v>
      </c>
      <c r="AO80" s="4">
        <v>1996</v>
      </c>
    </row>
    <row r="81" spans="1:41" ht="12.75">
      <c r="A81" s="4">
        <v>1997</v>
      </c>
      <c r="B81">
        <f t="shared" si="20"/>
        <v>0</v>
      </c>
      <c r="C81">
        <f t="shared" si="20"/>
        <v>0</v>
      </c>
      <c r="D81">
        <f t="shared" si="20"/>
        <v>0</v>
      </c>
      <c r="E81">
        <f t="shared" si="20"/>
        <v>0</v>
      </c>
      <c r="F81">
        <f t="shared" si="20"/>
        <v>0</v>
      </c>
      <c r="G81">
        <f t="shared" si="20"/>
        <v>0</v>
      </c>
      <c r="I81" s="4">
        <v>1997</v>
      </c>
      <c r="J81">
        <f aca="true" t="shared" si="73" ref="J81:O81">J60+J39</f>
        <v>0</v>
      </c>
      <c r="K81">
        <f t="shared" si="73"/>
        <v>0</v>
      </c>
      <c r="L81">
        <f t="shared" si="73"/>
        <v>0</v>
      </c>
      <c r="M81">
        <f t="shared" si="73"/>
        <v>0</v>
      </c>
      <c r="N81">
        <f t="shared" si="73"/>
        <v>0</v>
      </c>
      <c r="O81">
        <f t="shared" si="73"/>
        <v>0</v>
      </c>
      <c r="Q81" s="4">
        <v>1997</v>
      </c>
      <c r="R81">
        <f aca="true" t="shared" si="74" ref="R81:W81">R60+R39</f>
        <v>0</v>
      </c>
      <c r="S81">
        <f t="shared" si="74"/>
        <v>0</v>
      </c>
      <c r="T81">
        <f t="shared" si="74"/>
        <v>0</v>
      </c>
      <c r="U81">
        <f t="shared" si="74"/>
        <v>0</v>
      </c>
      <c r="V81">
        <f t="shared" si="74"/>
        <v>0</v>
      </c>
      <c r="W81">
        <f t="shared" si="74"/>
        <v>0</v>
      </c>
      <c r="Y81" s="4">
        <v>1997</v>
      </c>
      <c r="Z81">
        <f aca="true" t="shared" si="75" ref="Z81:AE81">Z60+Z39</f>
        <v>0</v>
      </c>
      <c r="AA81">
        <f t="shared" si="75"/>
        <v>0</v>
      </c>
      <c r="AB81">
        <f t="shared" si="75"/>
        <v>0</v>
      </c>
      <c r="AC81">
        <f t="shared" si="75"/>
        <v>0</v>
      </c>
      <c r="AD81">
        <f t="shared" si="75"/>
        <v>0</v>
      </c>
      <c r="AE81">
        <f t="shared" si="75"/>
        <v>0</v>
      </c>
      <c r="AG81" s="4">
        <v>1997</v>
      </c>
      <c r="AH81">
        <f aca="true" t="shared" si="76" ref="AH81:AM81">AH60+AH39</f>
        <v>0</v>
      </c>
      <c r="AI81">
        <f t="shared" si="76"/>
        <v>0</v>
      </c>
      <c r="AJ81">
        <f t="shared" si="76"/>
        <v>0</v>
      </c>
      <c r="AK81">
        <f t="shared" si="76"/>
        <v>0</v>
      </c>
      <c r="AL81">
        <f t="shared" si="76"/>
        <v>0</v>
      </c>
      <c r="AM81">
        <f t="shared" si="76"/>
        <v>0</v>
      </c>
      <c r="AO81" s="4">
        <v>1997</v>
      </c>
    </row>
    <row r="82" spans="1:41" ht="12.75">
      <c r="A82" s="4">
        <v>1998</v>
      </c>
      <c r="B82">
        <f t="shared" si="20"/>
        <v>345</v>
      </c>
      <c r="C82">
        <f t="shared" si="20"/>
        <v>840</v>
      </c>
      <c r="D82">
        <f t="shared" si="20"/>
        <v>718</v>
      </c>
      <c r="E82">
        <f t="shared" si="20"/>
        <v>488</v>
      </c>
      <c r="F82">
        <f t="shared" si="20"/>
        <v>627</v>
      </c>
      <c r="G82">
        <f t="shared" si="20"/>
        <v>3018</v>
      </c>
      <c r="I82" s="4">
        <v>1998</v>
      </c>
      <c r="J82">
        <f aca="true" t="shared" si="77" ref="J82:O82">J61+J40</f>
        <v>766</v>
      </c>
      <c r="K82">
        <f t="shared" si="77"/>
        <v>1573</v>
      </c>
      <c r="L82">
        <f t="shared" si="77"/>
        <v>1192</v>
      </c>
      <c r="M82">
        <f t="shared" si="77"/>
        <v>2088</v>
      </c>
      <c r="N82">
        <f t="shared" si="77"/>
        <v>619</v>
      </c>
      <c r="O82">
        <f t="shared" si="77"/>
        <v>6238</v>
      </c>
      <c r="Q82" s="4">
        <v>1998</v>
      </c>
      <c r="R82">
        <f aca="true" t="shared" si="78" ref="R82:W82">R61+R40</f>
        <v>0</v>
      </c>
      <c r="S82">
        <f t="shared" si="78"/>
        <v>3</v>
      </c>
      <c r="T82">
        <f t="shared" si="78"/>
        <v>2</v>
      </c>
      <c r="U82">
        <f t="shared" si="78"/>
        <v>3</v>
      </c>
      <c r="V82">
        <f t="shared" si="78"/>
        <v>1</v>
      </c>
      <c r="W82">
        <f t="shared" si="78"/>
        <v>9</v>
      </c>
      <c r="Y82" s="4">
        <v>1998</v>
      </c>
      <c r="Z82">
        <f aca="true" t="shared" si="79" ref="Z82:AE82">Z61+Z40</f>
        <v>0</v>
      </c>
      <c r="AA82">
        <f t="shared" si="79"/>
        <v>1</v>
      </c>
      <c r="AB82">
        <f t="shared" si="79"/>
        <v>0</v>
      </c>
      <c r="AC82">
        <f t="shared" si="79"/>
        <v>1</v>
      </c>
      <c r="AD82">
        <f t="shared" si="79"/>
        <v>1</v>
      </c>
      <c r="AE82">
        <f t="shared" si="79"/>
        <v>3</v>
      </c>
      <c r="AG82" s="4">
        <v>1998</v>
      </c>
      <c r="AH82">
        <f aca="true" t="shared" si="80" ref="AH82:AM82">AH61+AH40</f>
        <v>4</v>
      </c>
      <c r="AI82">
        <f t="shared" si="80"/>
        <v>7</v>
      </c>
      <c r="AJ82">
        <f t="shared" si="80"/>
        <v>3</v>
      </c>
      <c r="AK82">
        <f t="shared" si="80"/>
        <v>6</v>
      </c>
      <c r="AL82">
        <f t="shared" si="80"/>
        <v>5</v>
      </c>
      <c r="AM82">
        <f t="shared" si="80"/>
        <v>25</v>
      </c>
      <c r="AO82" s="4">
        <v>1998</v>
      </c>
    </row>
    <row r="83" spans="1:41" ht="12.75">
      <c r="A83" s="4">
        <v>1999</v>
      </c>
      <c r="B83">
        <f t="shared" si="20"/>
        <v>403</v>
      </c>
      <c r="C83">
        <f t="shared" si="20"/>
        <v>888</v>
      </c>
      <c r="D83">
        <f t="shared" si="20"/>
        <v>983</v>
      </c>
      <c r="E83">
        <f t="shared" si="20"/>
        <v>649</v>
      </c>
      <c r="F83">
        <f t="shared" si="20"/>
        <v>906</v>
      </c>
      <c r="G83">
        <f t="shared" si="20"/>
        <v>3829</v>
      </c>
      <c r="I83" s="4">
        <v>1999</v>
      </c>
      <c r="J83">
        <f aca="true" t="shared" si="81" ref="J83:O83">J62+J41</f>
        <v>876</v>
      </c>
      <c r="K83">
        <f t="shared" si="81"/>
        <v>1813</v>
      </c>
      <c r="L83">
        <f t="shared" si="81"/>
        <v>1662</v>
      </c>
      <c r="M83">
        <f t="shared" si="81"/>
        <v>2970</v>
      </c>
      <c r="N83">
        <f t="shared" si="81"/>
        <v>877</v>
      </c>
      <c r="O83">
        <f t="shared" si="81"/>
        <v>8198</v>
      </c>
      <c r="Q83" s="4">
        <v>1999</v>
      </c>
      <c r="R83">
        <f aca="true" t="shared" si="82" ref="R83:W83">R62+R41</f>
        <v>2</v>
      </c>
      <c r="S83">
        <f t="shared" si="82"/>
        <v>3</v>
      </c>
      <c r="T83">
        <f t="shared" si="82"/>
        <v>1</v>
      </c>
      <c r="U83">
        <f t="shared" si="82"/>
        <v>1</v>
      </c>
      <c r="V83">
        <f t="shared" si="82"/>
        <v>0</v>
      </c>
      <c r="W83">
        <f t="shared" si="82"/>
        <v>7</v>
      </c>
      <c r="Y83" s="4">
        <v>1999</v>
      </c>
      <c r="Z83">
        <f aca="true" t="shared" si="83" ref="Z83:AE83">Z62+Z41</f>
        <v>1</v>
      </c>
      <c r="AA83">
        <f t="shared" si="83"/>
        <v>1</v>
      </c>
      <c r="AB83">
        <f t="shared" si="83"/>
        <v>3</v>
      </c>
      <c r="AC83">
        <f t="shared" si="83"/>
        <v>0</v>
      </c>
      <c r="AD83">
        <f t="shared" si="83"/>
        <v>2</v>
      </c>
      <c r="AE83">
        <f t="shared" si="83"/>
        <v>7</v>
      </c>
      <c r="AG83" s="4">
        <v>1999</v>
      </c>
      <c r="AH83">
        <f aca="true" t="shared" si="84" ref="AH83:AM83">AH62+AH41</f>
        <v>4</v>
      </c>
      <c r="AI83">
        <f t="shared" si="84"/>
        <v>3</v>
      </c>
      <c r="AJ83">
        <f t="shared" si="84"/>
        <v>7</v>
      </c>
      <c r="AK83">
        <f t="shared" si="84"/>
        <v>13</v>
      </c>
      <c r="AL83">
        <f t="shared" si="84"/>
        <v>10</v>
      </c>
      <c r="AM83">
        <f t="shared" si="84"/>
        <v>37</v>
      </c>
      <c r="AO83" s="4">
        <v>1999</v>
      </c>
    </row>
    <row r="84" spans="1:41" ht="12.75">
      <c r="A84" s="4" t="s">
        <v>13</v>
      </c>
      <c r="B84" s="2">
        <f>SUM(B67:B83)</f>
        <v>3386</v>
      </c>
      <c r="C84" s="2">
        <f>SUM(C67:C83)</f>
        <v>9847</v>
      </c>
      <c r="D84" s="2">
        <f>SUM(D67:D83)</f>
        <v>7062</v>
      </c>
      <c r="E84" s="2">
        <f>SUM(E67:E83)</f>
        <v>4539</v>
      </c>
      <c r="F84" s="2">
        <f>SUM(F67:F83)</f>
        <v>12238</v>
      </c>
      <c r="G84">
        <f t="shared" si="20"/>
        <v>37072</v>
      </c>
      <c r="I84" s="4" t="s">
        <v>13</v>
      </c>
      <c r="J84">
        <f aca="true" t="shared" si="85" ref="J84:O84">J63+J42</f>
        <v>7179</v>
      </c>
      <c r="K84">
        <f t="shared" si="85"/>
        <v>20054</v>
      </c>
      <c r="L84">
        <f t="shared" si="85"/>
        <v>11316</v>
      </c>
      <c r="M84">
        <f t="shared" si="85"/>
        <v>18112</v>
      </c>
      <c r="N84">
        <f t="shared" si="85"/>
        <v>12244</v>
      </c>
      <c r="O84">
        <f t="shared" si="85"/>
        <v>68905</v>
      </c>
      <c r="Q84" s="4" t="s">
        <v>13</v>
      </c>
      <c r="R84">
        <f aca="true" t="shared" si="86" ref="R84:W84">R63+R42</f>
        <v>6</v>
      </c>
      <c r="S84">
        <f t="shared" si="86"/>
        <v>17</v>
      </c>
      <c r="T84">
        <f t="shared" si="86"/>
        <v>8</v>
      </c>
      <c r="U84">
        <f t="shared" si="86"/>
        <v>9</v>
      </c>
      <c r="V84">
        <f t="shared" si="86"/>
        <v>6</v>
      </c>
      <c r="W84">
        <f t="shared" si="86"/>
        <v>46</v>
      </c>
      <c r="Y84" s="4" t="s">
        <v>13</v>
      </c>
      <c r="Z84">
        <f aca="true" t="shared" si="87" ref="Z84:AE84">Z63+Z42</f>
        <v>3</v>
      </c>
      <c r="AA84">
        <f t="shared" si="87"/>
        <v>4</v>
      </c>
      <c r="AB84">
        <f t="shared" si="87"/>
        <v>5</v>
      </c>
      <c r="AC84">
        <f t="shared" si="87"/>
        <v>2</v>
      </c>
      <c r="AD84">
        <f t="shared" si="87"/>
        <v>6</v>
      </c>
      <c r="AE84">
        <f t="shared" si="87"/>
        <v>8</v>
      </c>
      <c r="AG84" s="4" t="s">
        <v>13</v>
      </c>
      <c r="AH84" s="2">
        <f>SUM(AH67:AH83)</f>
        <v>28</v>
      </c>
      <c r="AI84" s="2">
        <f>SUM(AI67:AI83)</f>
        <v>57</v>
      </c>
      <c r="AJ84" s="2">
        <f>SUM(AJ67:AJ83)</f>
        <v>29</v>
      </c>
      <c r="AK84" s="2">
        <f>SUM(AK67:AK83)</f>
        <v>46</v>
      </c>
      <c r="AL84" s="2">
        <f>SUM(AL67:AL83)</f>
        <v>63</v>
      </c>
      <c r="AM84">
        <f>AM63+AM42</f>
        <v>112</v>
      </c>
      <c r="AO84" s="4" t="s">
        <v>13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11</v>
      </c>
      <c r="I86" s="4" t="s">
        <v>12</v>
      </c>
      <c r="Q86" s="4" t="s">
        <v>28</v>
      </c>
      <c r="Y86" s="4" t="s">
        <v>29</v>
      </c>
      <c r="AG86" s="4" t="s">
        <v>26</v>
      </c>
      <c r="AO86" s="4" t="s">
        <v>27</v>
      </c>
    </row>
    <row r="87" spans="1:47" ht="12.75">
      <c r="A87" s="4" t="s">
        <v>22</v>
      </c>
      <c r="B87" s="12" t="s">
        <v>0</v>
      </c>
      <c r="C87" s="12" t="s">
        <v>5</v>
      </c>
      <c r="D87" s="12" t="s">
        <v>6</v>
      </c>
      <c r="E87" s="12" t="s">
        <v>1</v>
      </c>
      <c r="F87" s="12" t="s">
        <v>4</v>
      </c>
      <c r="G87" s="12" t="s">
        <v>13</v>
      </c>
      <c r="I87" s="4" t="s">
        <v>22</v>
      </c>
      <c r="J87" s="12" t="s">
        <v>0</v>
      </c>
      <c r="K87" s="12" t="s">
        <v>5</v>
      </c>
      <c r="L87" s="12" t="s">
        <v>6</v>
      </c>
      <c r="M87" s="12" t="s">
        <v>1</v>
      </c>
      <c r="N87" s="12" t="s">
        <v>4</v>
      </c>
      <c r="O87" s="12" t="s">
        <v>13</v>
      </c>
      <c r="Q87" s="4" t="s">
        <v>22</v>
      </c>
      <c r="R87" s="12" t="s">
        <v>0</v>
      </c>
      <c r="S87" s="12" t="s">
        <v>5</v>
      </c>
      <c r="T87" s="12" t="s">
        <v>6</v>
      </c>
      <c r="U87" s="12" t="s">
        <v>1</v>
      </c>
      <c r="V87" s="12" t="s">
        <v>4</v>
      </c>
      <c r="W87" s="12" t="s">
        <v>13</v>
      </c>
      <c r="Y87" s="4" t="s">
        <v>22</v>
      </c>
      <c r="Z87" s="12" t="s">
        <v>0</v>
      </c>
      <c r="AA87" s="12" t="s">
        <v>5</v>
      </c>
      <c r="AB87" s="12" t="s">
        <v>6</v>
      </c>
      <c r="AC87" s="12" t="s">
        <v>1</v>
      </c>
      <c r="AD87" s="12" t="s">
        <v>4</v>
      </c>
      <c r="AE87" s="12" t="s">
        <v>13</v>
      </c>
      <c r="AG87" s="4" t="s">
        <v>22</v>
      </c>
      <c r="AH87" s="12" t="s">
        <v>0</v>
      </c>
      <c r="AI87" s="12" t="s">
        <v>5</v>
      </c>
      <c r="AJ87" s="12" t="s">
        <v>6</v>
      </c>
      <c r="AK87" s="12" t="s">
        <v>1</v>
      </c>
      <c r="AL87" s="12" t="s">
        <v>4</v>
      </c>
      <c r="AM87" s="12" t="s">
        <v>13</v>
      </c>
      <c r="AO87" s="4" t="s">
        <v>22</v>
      </c>
      <c r="AP87" s="12" t="s">
        <v>0</v>
      </c>
      <c r="AQ87" s="12" t="s">
        <v>5</v>
      </c>
      <c r="AR87" s="12" t="s">
        <v>6</v>
      </c>
      <c r="AS87" s="12" t="s">
        <v>1</v>
      </c>
      <c r="AT87" s="12" t="s">
        <v>4</v>
      </c>
      <c r="AU87" s="12" t="s">
        <v>13</v>
      </c>
    </row>
    <row r="88" spans="1:41" ht="12.75">
      <c r="A88" s="4">
        <v>1983</v>
      </c>
      <c r="G88">
        <f>SUM(B88:F88)</f>
        <v>0</v>
      </c>
      <c r="I88" s="4">
        <v>1983</v>
      </c>
      <c r="O88">
        <f>SUM(J88:N88)</f>
        <v>0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B89">
        <v>15</v>
      </c>
      <c r="C89">
        <v>62</v>
      </c>
      <c r="D89">
        <v>19</v>
      </c>
      <c r="E89">
        <v>10</v>
      </c>
      <c r="F89">
        <v>9</v>
      </c>
      <c r="G89">
        <f aca="true" t="shared" si="88" ref="G89:G104">SUM(B89:F89)</f>
        <v>115</v>
      </c>
      <c r="I89" s="4">
        <v>1984</v>
      </c>
      <c r="J89">
        <v>21</v>
      </c>
      <c r="K89">
        <v>50</v>
      </c>
      <c r="L89">
        <v>16</v>
      </c>
      <c r="M89">
        <v>1</v>
      </c>
      <c r="N89">
        <v>3</v>
      </c>
      <c r="O89">
        <f aca="true" t="shared" si="89" ref="O89:O104">SUM(J89:N89)</f>
        <v>91</v>
      </c>
      <c r="Q89" s="4">
        <v>1984</v>
      </c>
      <c r="W89">
        <f aca="true" t="shared" si="90" ref="W89:W104">SUM(R89:V89)</f>
        <v>0</v>
      </c>
      <c r="Y89" s="4">
        <v>1984</v>
      </c>
      <c r="AE89">
        <f aca="true" t="shared" si="91" ref="AE89:AE104">SUM(Z89:AD89)</f>
        <v>0</v>
      </c>
      <c r="AG89" s="4">
        <v>1984</v>
      </c>
      <c r="AM89">
        <f aca="true" t="shared" si="92" ref="AM89:AM104">SUM(AH89:AL89)</f>
        <v>0</v>
      </c>
      <c r="AO89" s="4">
        <v>1984</v>
      </c>
    </row>
    <row r="90" spans="1:41" ht="12.75">
      <c r="A90" s="4">
        <v>1985</v>
      </c>
      <c r="G90">
        <f t="shared" si="88"/>
        <v>0</v>
      </c>
      <c r="I90" s="4">
        <v>1985</v>
      </c>
      <c r="O90">
        <f t="shared" si="89"/>
        <v>0</v>
      </c>
      <c r="Q90" s="4">
        <v>1985</v>
      </c>
      <c r="W90">
        <f t="shared" si="90"/>
        <v>0</v>
      </c>
      <c r="Y90" s="4">
        <v>1985</v>
      </c>
      <c r="AE90">
        <f t="shared" si="91"/>
        <v>0</v>
      </c>
      <c r="AG90" s="4">
        <v>1985</v>
      </c>
      <c r="AM90">
        <f t="shared" si="92"/>
        <v>0</v>
      </c>
      <c r="AO90" s="4">
        <v>1985</v>
      </c>
    </row>
    <row r="91" spans="1:41" ht="12.75">
      <c r="A91" s="4">
        <v>1986</v>
      </c>
      <c r="G91">
        <f t="shared" si="88"/>
        <v>0</v>
      </c>
      <c r="I91" s="4">
        <v>1986</v>
      </c>
      <c r="O91">
        <f t="shared" si="89"/>
        <v>0</v>
      </c>
      <c r="Q91" s="4">
        <v>1986</v>
      </c>
      <c r="W91">
        <f t="shared" si="90"/>
        <v>0</v>
      </c>
      <c r="Y91" s="4">
        <v>1986</v>
      </c>
      <c r="AE91">
        <f t="shared" si="91"/>
        <v>0</v>
      </c>
      <c r="AG91" s="4">
        <v>1986</v>
      </c>
      <c r="AM91">
        <f t="shared" si="92"/>
        <v>0</v>
      </c>
      <c r="AO91" s="4">
        <v>1986</v>
      </c>
    </row>
    <row r="92" spans="1:41" ht="12.75">
      <c r="A92" s="4">
        <v>1987</v>
      </c>
      <c r="B92">
        <v>11</v>
      </c>
      <c r="F92">
        <v>145</v>
      </c>
      <c r="G92">
        <f t="shared" si="88"/>
        <v>156</v>
      </c>
      <c r="I92" s="4">
        <v>1987</v>
      </c>
      <c r="J92">
        <v>6</v>
      </c>
      <c r="N92">
        <v>93</v>
      </c>
      <c r="O92">
        <f t="shared" si="89"/>
        <v>99</v>
      </c>
      <c r="Q92" s="4">
        <v>1987</v>
      </c>
      <c r="W92">
        <f t="shared" si="90"/>
        <v>0</v>
      </c>
      <c r="Y92" s="4">
        <v>1987</v>
      </c>
      <c r="AE92">
        <f t="shared" si="91"/>
        <v>0</v>
      </c>
      <c r="AG92" s="4">
        <v>1987</v>
      </c>
      <c r="AM92">
        <f t="shared" si="92"/>
        <v>0</v>
      </c>
      <c r="AO92" s="4">
        <v>1987</v>
      </c>
    </row>
    <row r="93" spans="1:41" ht="12.75">
      <c r="A93" s="4">
        <v>1988</v>
      </c>
      <c r="B93">
        <v>26</v>
      </c>
      <c r="C93">
        <v>92</v>
      </c>
      <c r="D93">
        <v>20</v>
      </c>
      <c r="E93">
        <v>5</v>
      </c>
      <c r="F93">
        <v>126</v>
      </c>
      <c r="G93">
        <f t="shared" si="88"/>
        <v>269</v>
      </c>
      <c r="I93" s="4">
        <v>1988</v>
      </c>
      <c r="J93">
        <v>26</v>
      </c>
      <c r="K93">
        <v>42</v>
      </c>
      <c r="L93">
        <v>9</v>
      </c>
      <c r="M93">
        <v>4</v>
      </c>
      <c r="N93">
        <v>64</v>
      </c>
      <c r="O93">
        <f t="shared" si="89"/>
        <v>145</v>
      </c>
      <c r="Q93" s="4">
        <v>1988</v>
      </c>
      <c r="W93">
        <f t="shared" si="90"/>
        <v>0</v>
      </c>
      <c r="Y93" s="4">
        <v>1988</v>
      </c>
      <c r="AE93">
        <f t="shared" si="91"/>
        <v>0</v>
      </c>
      <c r="AG93" s="4">
        <v>1988</v>
      </c>
      <c r="AI93">
        <v>2</v>
      </c>
      <c r="AK93">
        <v>2</v>
      </c>
      <c r="AL93">
        <v>1</v>
      </c>
      <c r="AM93">
        <f t="shared" si="92"/>
        <v>5</v>
      </c>
      <c r="AO93" s="4">
        <v>1988</v>
      </c>
    </row>
    <row r="94" spans="1:41" ht="12.75">
      <c r="A94" s="4">
        <v>1989</v>
      </c>
      <c r="B94">
        <v>16</v>
      </c>
      <c r="C94">
        <v>59</v>
      </c>
      <c r="D94">
        <v>9</v>
      </c>
      <c r="E94">
        <v>4</v>
      </c>
      <c r="F94">
        <v>20</v>
      </c>
      <c r="G94">
        <f t="shared" si="88"/>
        <v>108</v>
      </c>
      <c r="I94" s="4">
        <v>1989</v>
      </c>
      <c r="J94">
        <v>8</v>
      </c>
      <c r="K94">
        <v>24</v>
      </c>
      <c r="L94">
        <v>2</v>
      </c>
      <c r="M94">
        <v>3</v>
      </c>
      <c r="N94">
        <v>6</v>
      </c>
      <c r="O94">
        <f t="shared" si="89"/>
        <v>43</v>
      </c>
      <c r="Q94" s="4">
        <v>1989</v>
      </c>
      <c r="W94">
        <f t="shared" si="90"/>
        <v>0</v>
      </c>
      <c r="Y94" s="4">
        <v>1989</v>
      </c>
      <c r="AE94">
        <f t="shared" si="91"/>
        <v>0</v>
      </c>
      <c r="AG94" s="4">
        <v>1989</v>
      </c>
      <c r="AK94">
        <v>1</v>
      </c>
      <c r="AL94">
        <v>1</v>
      </c>
      <c r="AM94">
        <f t="shared" si="92"/>
        <v>2</v>
      </c>
      <c r="AO94" s="4">
        <v>1989</v>
      </c>
    </row>
    <row r="95" spans="1:41" ht="12.75">
      <c r="A95" s="4">
        <v>1990</v>
      </c>
      <c r="B95">
        <v>10</v>
      </c>
      <c r="C95">
        <v>34</v>
      </c>
      <c r="D95">
        <v>8</v>
      </c>
      <c r="E95">
        <v>1</v>
      </c>
      <c r="F95">
        <v>11</v>
      </c>
      <c r="G95">
        <f t="shared" si="88"/>
        <v>64</v>
      </c>
      <c r="I95" s="4">
        <v>1990</v>
      </c>
      <c r="J95">
        <v>10</v>
      </c>
      <c r="K95">
        <v>21</v>
      </c>
      <c r="L95">
        <v>6</v>
      </c>
      <c r="M95">
        <v>3</v>
      </c>
      <c r="N95">
        <v>4</v>
      </c>
      <c r="O95">
        <f t="shared" si="89"/>
        <v>44</v>
      </c>
      <c r="Q95" s="4">
        <v>1990</v>
      </c>
      <c r="W95">
        <f t="shared" si="90"/>
        <v>0</v>
      </c>
      <c r="Y95" s="4">
        <v>1990</v>
      </c>
      <c r="AE95">
        <f t="shared" si="91"/>
        <v>0</v>
      </c>
      <c r="AG95" s="4">
        <v>1990</v>
      </c>
      <c r="AM95">
        <f t="shared" si="92"/>
        <v>0</v>
      </c>
      <c r="AO95" s="4">
        <v>1990</v>
      </c>
    </row>
    <row r="96" spans="1:41" ht="12.75">
      <c r="A96" s="4">
        <v>1991</v>
      </c>
      <c r="B96">
        <v>7</v>
      </c>
      <c r="C96">
        <v>34</v>
      </c>
      <c r="D96">
        <v>10</v>
      </c>
      <c r="E96">
        <v>2</v>
      </c>
      <c r="F96">
        <v>14</v>
      </c>
      <c r="G96">
        <f t="shared" si="88"/>
        <v>67</v>
      </c>
      <c r="I96" s="4">
        <v>1991</v>
      </c>
      <c r="J96">
        <v>4</v>
      </c>
      <c r="K96">
        <v>17</v>
      </c>
      <c r="L96">
        <v>7</v>
      </c>
      <c r="M96">
        <v>7</v>
      </c>
      <c r="N96">
        <v>4</v>
      </c>
      <c r="O96">
        <f t="shared" si="89"/>
        <v>39</v>
      </c>
      <c r="Q96" s="4">
        <v>1991</v>
      </c>
      <c r="W96">
        <f t="shared" si="90"/>
        <v>0</v>
      </c>
      <c r="Y96" s="4">
        <v>1991</v>
      </c>
      <c r="AE96">
        <f t="shared" si="91"/>
        <v>0</v>
      </c>
      <c r="AG96" s="4">
        <v>1991</v>
      </c>
      <c r="AK96">
        <v>1</v>
      </c>
      <c r="AM96">
        <f t="shared" si="92"/>
        <v>1</v>
      </c>
      <c r="AO96" s="4">
        <v>1991</v>
      </c>
    </row>
    <row r="97" spans="1:41" ht="12.75">
      <c r="A97" s="4">
        <v>1992</v>
      </c>
      <c r="B97">
        <v>21</v>
      </c>
      <c r="C97">
        <v>81</v>
      </c>
      <c r="D97">
        <v>31</v>
      </c>
      <c r="E97">
        <v>14</v>
      </c>
      <c r="F97">
        <v>26</v>
      </c>
      <c r="G97">
        <f t="shared" si="88"/>
        <v>173</v>
      </c>
      <c r="I97" s="4">
        <v>1992</v>
      </c>
      <c r="J97">
        <v>9</v>
      </c>
      <c r="K97">
        <v>114</v>
      </c>
      <c r="L97">
        <v>35</v>
      </c>
      <c r="M97">
        <v>120</v>
      </c>
      <c r="N97">
        <v>21</v>
      </c>
      <c r="O97">
        <f t="shared" si="89"/>
        <v>299</v>
      </c>
      <c r="Q97" s="4">
        <v>1992</v>
      </c>
      <c r="W97">
        <f t="shared" si="90"/>
        <v>0</v>
      </c>
      <c r="Y97" s="4">
        <v>1992</v>
      </c>
      <c r="AE97">
        <f t="shared" si="91"/>
        <v>0</v>
      </c>
      <c r="AG97" s="4">
        <v>1992</v>
      </c>
      <c r="AM97">
        <f t="shared" si="92"/>
        <v>0</v>
      </c>
      <c r="AO97" s="4">
        <v>1992</v>
      </c>
    </row>
    <row r="98" spans="1:41" ht="12.75">
      <c r="A98" s="4">
        <v>1993</v>
      </c>
      <c r="B98">
        <v>30</v>
      </c>
      <c r="C98">
        <v>128</v>
      </c>
      <c r="D98">
        <v>50</v>
      </c>
      <c r="E98">
        <v>25</v>
      </c>
      <c r="F98">
        <v>58</v>
      </c>
      <c r="G98">
        <f t="shared" si="88"/>
        <v>291</v>
      </c>
      <c r="I98" s="4">
        <v>1993</v>
      </c>
      <c r="J98">
        <v>54</v>
      </c>
      <c r="K98">
        <v>243</v>
      </c>
      <c r="L98">
        <v>76</v>
      </c>
      <c r="M98">
        <v>195</v>
      </c>
      <c r="N98">
        <v>52</v>
      </c>
      <c r="O98">
        <f t="shared" si="89"/>
        <v>620</v>
      </c>
      <c r="Q98" s="4">
        <v>1993</v>
      </c>
      <c r="W98">
        <f t="shared" si="90"/>
        <v>0</v>
      </c>
      <c r="Y98" s="4">
        <v>1993</v>
      </c>
      <c r="AE98">
        <f t="shared" si="91"/>
        <v>0</v>
      </c>
      <c r="AG98" s="4">
        <v>1993</v>
      </c>
      <c r="AJ98">
        <v>2</v>
      </c>
      <c r="AM98">
        <f t="shared" si="92"/>
        <v>2</v>
      </c>
      <c r="AO98" s="4">
        <v>1993</v>
      </c>
    </row>
    <row r="99" spans="1:41" ht="12.75">
      <c r="A99" s="4">
        <v>1994</v>
      </c>
      <c r="B99">
        <v>27</v>
      </c>
      <c r="C99">
        <v>132</v>
      </c>
      <c r="D99">
        <v>38</v>
      </c>
      <c r="E99">
        <v>22</v>
      </c>
      <c r="F99">
        <v>62</v>
      </c>
      <c r="G99">
        <f t="shared" si="88"/>
        <v>281</v>
      </c>
      <c r="I99" s="4">
        <v>1994</v>
      </c>
      <c r="J99">
        <v>66</v>
      </c>
      <c r="K99">
        <v>236</v>
      </c>
      <c r="L99">
        <v>48</v>
      </c>
      <c r="M99">
        <v>167</v>
      </c>
      <c r="N99">
        <v>59</v>
      </c>
      <c r="O99">
        <f t="shared" si="89"/>
        <v>576</v>
      </c>
      <c r="Q99" s="4">
        <v>1994</v>
      </c>
      <c r="S99">
        <v>2</v>
      </c>
      <c r="W99">
        <f t="shared" si="90"/>
        <v>2</v>
      </c>
      <c r="Y99" s="4">
        <v>1994</v>
      </c>
      <c r="AD99">
        <v>1</v>
      </c>
      <c r="AE99">
        <f t="shared" si="91"/>
        <v>1</v>
      </c>
      <c r="AG99" s="4">
        <v>1994</v>
      </c>
      <c r="AH99">
        <v>1</v>
      </c>
      <c r="AI99">
        <v>3</v>
      </c>
      <c r="AM99">
        <f t="shared" si="92"/>
        <v>4</v>
      </c>
      <c r="AO99" s="4">
        <v>1994</v>
      </c>
    </row>
    <row r="100" spans="1:41" ht="12.75">
      <c r="A100" s="4">
        <v>1995</v>
      </c>
      <c r="B100">
        <v>11</v>
      </c>
      <c r="C100">
        <v>37</v>
      </c>
      <c r="D100">
        <v>8</v>
      </c>
      <c r="E100">
        <v>3</v>
      </c>
      <c r="F100">
        <v>7</v>
      </c>
      <c r="G100">
        <f t="shared" si="88"/>
        <v>66</v>
      </c>
      <c r="I100" s="4">
        <v>1995</v>
      </c>
      <c r="J100">
        <v>34</v>
      </c>
      <c r="K100">
        <v>42</v>
      </c>
      <c r="L100">
        <v>23</v>
      </c>
      <c r="M100">
        <v>6</v>
      </c>
      <c r="N100">
        <v>20</v>
      </c>
      <c r="O100">
        <f t="shared" si="89"/>
        <v>125</v>
      </c>
      <c r="Q100" s="4">
        <v>1995</v>
      </c>
      <c r="W100">
        <f t="shared" si="90"/>
        <v>0</v>
      </c>
      <c r="Y100" s="4">
        <v>1995</v>
      </c>
      <c r="AE100">
        <f t="shared" si="91"/>
        <v>0</v>
      </c>
      <c r="AG100" s="4">
        <v>1995</v>
      </c>
      <c r="AM100">
        <f t="shared" si="92"/>
        <v>0</v>
      </c>
      <c r="AO100" s="4">
        <v>1995</v>
      </c>
    </row>
    <row r="101" spans="1:41" ht="12.75">
      <c r="A101" s="4">
        <v>1996</v>
      </c>
      <c r="B101">
        <v>6</v>
      </c>
      <c r="C101">
        <v>6</v>
      </c>
      <c r="D101">
        <v>3</v>
      </c>
      <c r="E101">
        <v>3</v>
      </c>
      <c r="F101">
        <v>3</v>
      </c>
      <c r="G101">
        <f t="shared" si="88"/>
        <v>21</v>
      </c>
      <c r="I101" s="4">
        <v>1996</v>
      </c>
      <c r="J101">
        <v>13</v>
      </c>
      <c r="K101">
        <v>12</v>
      </c>
      <c r="L101">
        <v>7</v>
      </c>
      <c r="M101">
        <v>7</v>
      </c>
      <c r="N101">
        <v>10</v>
      </c>
      <c r="O101">
        <f t="shared" si="89"/>
        <v>49</v>
      </c>
      <c r="Q101" s="4">
        <v>1996</v>
      </c>
      <c r="W101">
        <f t="shared" si="90"/>
        <v>0</v>
      </c>
      <c r="Y101" s="4">
        <v>1996</v>
      </c>
      <c r="AE101">
        <f t="shared" si="91"/>
        <v>0</v>
      </c>
      <c r="AG101" s="4">
        <v>1996</v>
      </c>
      <c r="AH101">
        <v>1</v>
      </c>
      <c r="AM101">
        <f t="shared" si="92"/>
        <v>1</v>
      </c>
      <c r="AO101" s="4">
        <v>1996</v>
      </c>
    </row>
    <row r="102" spans="1:41" ht="12.75">
      <c r="A102" s="4">
        <v>1997</v>
      </c>
      <c r="G102">
        <f t="shared" si="88"/>
        <v>0</v>
      </c>
      <c r="I102" s="4">
        <v>1997</v>
      </c>
      <c r="O102">
        <f t="shared" si="89"/>
        <v>0</v>
      </c>
      <c r="Q102" s="4">
        <v>1997</v>
      </c>
      <c r="W102">
        <f t="shared" si="90"/>
        <v>0</v>
      </c>
      <c r="Y102" s="4">
        <v>1997</v>
      </c>
      <c r="AE102">
        <f t="shared" si="91"/>
        <v>0</v>
      </c>
      <c r="AG102" s="4">
        <v>1997</v>
      </c>
      <c r="AM102">
        <f t="shared" si="92"/>
        <v>0</v>
      </c>
      <c r="AO102" s="4">
        <v>1997</v>
      </c>
    </row>
    <row r="103" spans="1:41" ht="12.75">
      <c r="A103" s="4">
        <v>1998</v>
      </c>
      <c r="C103">
        <v>1</v>
      </c>
      <c r="D103">
        <v>2</v>
      </c>
      <c r="E103">
        <v>1</v>
      </c>
      <c r="F103">
        <v>4</v>
      </c>
      <c r="G103">
        <f t="shared" si="88"/>
        <v>8</v>
      </c>
      <c r="I103" s="4">
        <v>1998</v>
      </c>
      <c r="J103">
        <v>3</v>
      </c>
      <c r="K103">
        <v>16</v>
      </c>
      <c r="L103">
        <v>5</v>
      </c>
      <c r="M103">
        <v>12</v>
      </c>
      <c r="N103">
        <v>3</v>
      </c>
      <c r="O103">
        <f t="shared" si="89"/>
        <v>39</v>
      </c>
      <c r="Q103" s="4">
        <v>1998</v>
      </c>
      <c r="W103">
        <f t="shared" si="90"/>
        <v>0</v>
      </c>
      <c r="Y103" s="4">
        <v>1998</v>
      </c>
      <c r="AE103">
        <f t="shared" si="91"/>
        <v>0</v>
      </c>
      <c r="AG103" s="4">
        <v>1998</v>
      </c>
      <c r="AM103">
        <f t="shared" si="92"/>
        <v>0</v>
      </c>
      <c r="AO103" s="4">
        <v>1998</v>
      </c>
    </row>
    <row r="104" spans="1:41" ht="12.75">
      <c r="A104" s="4">
        <v>1999</v>
      </c>
      <c r="C104">
        <v>8</v>
      </c>
      <c r="D104">
        <v>2</v>
      </c>
      <c r="E104">
        <v>5</v>
      </c>
      <c r="F104">
        <v>6</v>
      </c>
      <c r="G104">
        <f t="shared" si="88"/>
        <v>21</v>
      </c>
      <c r="I104" s="4">
        <v>1999</v>
      </c>
      <c r="J104">
        <v>2</v>
      </c>
      <c r="K104">
        <v>11</v>
      </c>
      <c r="L104">
        <v>7</v>
      </c>
      <c r="M104">
        <v>20</v>
      </c>
      <c r="N104">
        <v>3</v>
      </c>
      <c r="O104">
        <f t="shared" si="89"/>
        <v>43</v>
      </c>
      <c r="Q104" s="4">
        <v>1999</v>
      </c>
      <c r="W104">
        <f t="shared" si="90"/>
        <v>0</v>
      </c>
      <c r="Y104" s="4">
        <v>1999</v>
      </c>
      <c r="AE104">
        <f t="shared" si="91"/>
        <v>0</v>
      </c>
      <c r="AG104" s="4">
        <v>1999</v>
      </c>
      <c r="AK104">
        <v>2</v>
      </c>
      <c r="AM104">
        <f t="shared" si="92"/>
        <v>2</v>
      </c>
      <c r="AO104" s="4">
        <v>1999</v>
      </c>
    </row>
    <row r="105" spans="1:41" ht="12.75">
      <c r="A105" s="4" t="s">
        <v>13</v>
      </c>
      <c r="B105" s="2">
        <f>SUM(B88:B104)</f>
        <v>180</v>
      </c>
      <c r="C105" s="2">
        <f>SUM(C88:C104)</f>
        <v>674</v>
      </c>
      <c r="D105" s="2">
        <f>SUM(D88:D104)</f>
        <v>200</v>
      </c>
      <c r="E105" s="2">
        <f>SUM(E88:E104)</f>
        <v>95</v>
      </c>
      <c r="F105" s="2">
        <f>SUM(F88:F104)</f>
        <v>491</v>
      </c>
      <c r="G105">
        <f>SUM(B105:F105)</f>
        <v>1640</v>
      </c>
      <c r="I105" s="4" t="s">
        <v>13</v>
      </c>
      <c r="J105" s="2">
        <f>SUM(J88:J104)</f>
        <v>256</v>
      </c>
      <c r="K105" s="2">
        <f>SUM(K88:K104)</f>
        <v>828</v>
      </c>
      <c r="L105" s="2">
        <f>SUM(L88:L104)</f>
        <v>241</v>
      </c>
      <c r="M105" s="2">
        <f>SUM(M88:M104)</f>
        <v>545</v>
      </c>
      <c r="N105" s="2">
        <f>SUM(N88:N104)</f>
        <v>342</v>
      </c>
      <c r="O105">
        <f>SUM(J105:N105)</f>
        <v>2212</v>
      </c>
      <c r="Q105" s="4" t="s">
        <v>13</v>
      </c>
      <c r="R105" s="2">
        <f>SUM(R88:R104)</f>
        <v>0</v>
      </c>
      <c r="S105" s="2">
        <f>SUM(S88:S104)</f>
        <v>2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2</v>
      </c>
      <c r="Y105" s="4" t="s">
        <v>13</v>
      </c>
      <c r="AA105">
        <v>2</v>
      </c>
      <c r="AB105">
        <v>1</v>
      </c>
      <c r="AC105">
        <v>1</v>
      </c>
      <c r="AE105">
        <f>SUM(Z105:AD105)</f>
        <v>4</v>
      </c>
      <c r="AG105" s="4" t="s">
        <v>13</v>
      </c>
      <c r="AI105">
        <v>2</v>
      </c>
      <c r="AJ105">
        <v>1</v>
      </c>
      <c r="AK105">
        <v>1</v>
      </c>
      <c r="AM105">
        <f>SUM(AH105:AL105)</f>
        <v>4</v>
      </c>
      <c r="AO105" s="4" t="s">
        <v>13</v>
      </c>
    </row>
    <row r="106" spans="9:33" ht="12.75">
      <c r="I106" s="4"/>
      <c r="Q106" s="4"/>
      <c r="AG106" s="4"/>
    </row>
    <row r="107" spans="1:41" ht="12.75">
      <c r="A107" s="4" t="s">
        <v>11</v>
      </c>
      <c r="I107" s="4" t="s">
        <v>12</v>
      </c>
      <c r="Q107" s="4" t="s">
        <v>28</v>
      </c>
      <c r="Y107" s="4" t="s">
        <v>29</v>
      </c>
      <c r="AG107" s="4" t="s">
        <v>26</v>
      </c>
      <c r="AO107" s="4" t="s">
        <v>27</v>
      </c>
    </row>
    <row r="108" spans="1:47" ht="12.75">
      <c r="A108" s="4" t="s">
        <v>8</v>
      </c>
      <c r="B108" s="12" t="s">
        <v>0</v>
      </c>
      <c r="C108" s="12" t="s">
        <v>5</v>
      </c>
      <c r="D108" s="12" t="s">
        <v>6</v>
      </c>
      <c r="E108" s="12" t="s">
        <v>1</v>
      </c>
      <c r="F108" s="12" t="s">
        <v>4</v>
      </c>
      <c r="G108" s="12" t="s">
        <v>13</v>
      </c>
      <c r="I108" s="4" t="s">
        <v>8</v>
      </c>
      <c r="J108" s="12" t="s">
        <v>0</v>
      </c>
      <c r="K108" s="12" t="s">
        <v>5</v>
      </c>
      <c r="L108" s="12" t="s">
        <v>6</v>
      </c>
      <c r="M108" s="12" t="s">
        <v>1</v>
      </c>
      <c r="N108" s="12" t="s">
        <v>4</v>
      </c>
      <c r="O108" s="12" t="s">
        <v>13</v>
      </c>
      <c r="Q108" s="4" t="s">
        <v>8</v>
      </c>
      <c r="R108" s="12" t="s">
        <v>0</v>
      </c>
      <c r="S108" s="12" t="s">
        <v>5</v>
      </c>
      <c r="T108" s="12" t="s">
        <v>6</v>
      </c>
      <c r="U108" s="12" t="s">
        <v>1</v>
      </c>
      <c r="V108" s="12" t="s">
        <v>4</v>
      </c>
      <c r="W108" s="12" t="s">
        <v>13</v>
      </c>
      <c r="Y108" s="4" t="s">
        <v>8</v>
      </c>
      <c r="Z108" s="12" t="s">
        <v>0</v>
      </c>
      <c r="AA108" s="12" t="s">
        <v>5</v>
      </c>
      <c r="AB108" s="12" t="s">
        <v>6</v>
      </c>
      <c r="AC108" s="12" t="s">
        <v>1</v>
      </c>
      <c r="AD108" s="12" t="s">
        <v>4</v>
      </c>
      <c r="AE108" s="12" t="s">
        <v>13</v>
      </c>
      <c r="AG108" s="4" t="s">
        <v>8</v>
      </c>
      <c r="AH108" s="12" t="s">
        <v>0</v>
      </c>
      <c r="AI108" s="12" t="s">
        <v>5</v>
      </c>
      <c r="AJ108" s="12" t="s">
        <v>6</v>
      </c>
      <c r="AK108" s="12" t="s">
        <v>1</v>
      </c>
      <c r="AL108" s="12" t="s">
        <v>4</v>
      </c>
      <c r="AM108" s="12" t="s">
        <v>13</v>
      </c>
      <c r="AO108" s="4" t="s">
        <v>8</v>
      </c>
      <c r="AP108" s="12" t="s">
        <v>0</v>
      </c>
      <c r="AQ108" s="12" t="s">
        <v>5</v>
      </c>
      <c r="AR108" s="12" t="s">
        <v>6</v>
      </c>
      <c r="AS108" s="12" t="s">
        <v>1</v>
      </c>
      <c r="AT108" s="12" t="s">
        <v>4</v>
      </c>
      <c r="AU108" s="12" t="s">
        <v>13</v>
      </c>
    </row>
    <row r="109" spans="1:41" ht="12.75">
      <c r="A109" s="4">
        <v>1983</v>
      </c>
      <c r="B109">
        <f aca="true" t="shared" si="93" ref="B109:G118">B88+B46+B25</f>
        <v>122</v>
      </c>
      <c r="C109">
        <f t="shared" si="93"/>
        <v>629</v>
      </c>
      <c r="D109">
        <f t="shared" si="93"/>
        <v>413</v>
      </c>
      <c r="E109">
        <f t="shared" si="93"/>
        <v>173</v>
      </c>
      <c r="F109">
        <f t="shared" si="93"/>
        <v>335</v>
      </c>
      <c r="G109">
        <f t="shared" si="93"/>
        <v>1672</v>
      </c>
      <c r="I109" s="4">
        <v>1983</v>
      </c>
      <c r="J109">
        <f aca="true" t="shared" si="94" ref="J109:O118">J88+J46+J25</f>
        <v>207</v>
      </c>
      <c r="K109">
        <f t="shared" si="94"/>
        <v>895</v>
      </c>
      <c r="L109">
        <f t="shared" si="94"/>
        <v>467</v>
      </c>
      <c r="M109">
        <f t="shared" si="94"/>
        <v>151</v>
      </c>
      <c r="N109">
        <f t="shared" si="94"/>
        <v>201</v>
      </c>
      <c r="O109">
        <f t="shared" si="94"/>
        <v>1921</v>
      </c>
      <c r="Q109" s="4">
        <v>1983</v>
      </c>
      <c r="R109">
        <f aca="true" t="shared" si="95" ref="R109:W118">R88+R46+R25</f>
        <v>0</v>
      </c>
      <c r="S109">
        <f t="shared" si="95"/>
        <v>0</v>
      </c>
      <c r="T109">
        <f t="shared" si="95"/>
        <v>0</v>
      </c>
      <c r="U109">
        <f t="shared" si="95"/>
        <v>0</v>
      </c>
      <c r="V109">
        <f t="shared" si="95"/>
        <v>0</v>
      </c>
      <c r="W109">
        <f t="shared" si="95"/>
        <v>0</v>
      </c>
      <c r="Y109" s="4">
        <v>1983</v>
      </c>
      <c r="Z109">
        <f aca="true" t="shared" si="96" ref="Z109:AE118">Z88+Z46+Z25</f>
        <v>0</v>
      </c>
      <c r="AA109">
        <f t="shared" si="96"/>
        <v>0</v>
      </c>
      <c r="AB109">
        <f t="shared" si="96"/>
        <v>0</v>
      </c>
      <c r="AC109">
        <f t="shared" si="96"/>
        <v>0</v>
      </c>
      <c r="AD109">
        <f t="shared" si="96"/>
        <v>0</v>
      </c>
      <c r="AE109">
        <f t="shared" si="96"/>
        <v>0</v>
      </c>
      <c r="AG109" s="4">
        <v>1983</v>
      </c>
      <c r="AH109">
        <f aca="true" t="shared" si="97" ref="AH109:AM109">AH88+AH46+AH25</f>
        <v>0</v>
      </c>
      <c r="AI109">
        <f t="shared" si="97"/>
        <v>1</v>
      </c>
      <c r="AJ109">
        <f t="shared" si="97"/>
        <v>0</v>
      </c>
      <c r="AK109">
        <f t="shared" si="97"/>
        <v>0</v>
      </c>
      <c r="AL109">
        <f t="shared" si="97"/>
        <v>0</v>
      </c>
      <c r="AM109">
        <f t="shared" si="97"/>
        <v>1</v>
      </c>
      <c r="AO109" s="4">
        <v>1983</v>
      </c>
    </row>
    <row r="110" spans="1:41" ht="12.75">
      <c r="A110" s="4">
        <v>1984</v>
      </c>
      <c r="B110">
        <f t="shared" si="93"/>
        <v>166</v>
      </c>
      <c r="C110">
        <f t="shared" si="93"/>
        <v>851</v>
      </c>
      <c r="D110">
        <f t="shared" si="93"/>
        <v>593</v>
      </c>
      <c r="E110">
        <f t="shared" si="93"/>
        <v>366</v>
      </c>
      <c r="F110">
        <f t="shared" si="93"/>
        <v>713</v>
      </c>
      <c r="G110">
        <f t="shared" si="93"/>
        <v>2689</v>
      </c>
      <c r="I110" s="4">
        <v>1984</v>
      </c>
      <c r="J110">
        <f t="shared" si="94"/>
        <v>232</v>
      </c>
      <c r="K110">
        <f t="shared" si="94"/>
        <v>1036</v>
      </c>
      <c r="L110">
        <f t="shared" si="94"/>
        <v>692</v>
      </c>
      <c r="M110">
        <f t="shared" si="94"/>
        <v>298</v>
      </c>
      <c r="N110">
        <f t="shared" si="94"/>
        <v>454</v>
      </c>
      <c r="O110">
        <f t="shared" si="94"/>
        <v>2712</v>
      </c>
      <c r="Q110" s="4">
        <v>1984</v>
      </c>
      <c r="R110">
        <f t="shared" si="95"/>
        <v>0</v>
      </c>
      <c r="S110">
        <f t="shared" si="95"/>
        <v>0</v>
      </c>
      <c r="T110">
        <f t="shared" si="95"/>
        <v>0</v>
      </c>
      <c r="U110">
        <f t="shared" si="95"/>
        <v>0</v>
      </c>
      <c r="V110">
        <f t="shared" si="95"/>
        <v>0</v>
      </c>
      <c r="W110">
        <f t="shared" si="95"/>
        <v>0</v>
      </c>
      <c r="Y110" s="4">
        <v>1984</v>
      </c>
      <c r="Z110">
        <f t="shared" si="96"/>
        <v>0</v>
      </c>
      <c r="AA110">
        <f t="shared" si="96"/>
        <v>0</v>
      </c>
      <c r="AB110">
        <f t="shared" si="96"/>
        <v>0</v>
      </c>
      <c r="AC110">
        <f t="shared" si="96"/>
        <v>0</v>
      </c>
      <c r="AD110">
        <f t="shared" si="96"/>
        <v>0</v>
      </c>
      <c r="AE110">
        <f t="shared" si="96"/>
        <v>0</v>
      </c>
      <c r="AG110" s="4">
        <v>1984</v>
      </c>
      <c r="AH110">
        <f aca="true" t="shared" si="98" ref="AH110:AM110">AH89+AH47+AH26</f>
        <v>0</v>
      </c>
      <c r="AI110">
        <f t="shared" si="98"/>
        <v>0</v>
      </c>
      <c r="AJ110">
        <f t="shared" si="98"/>
        <v>0</v>
      </c>
      <c r="AK110">
        <f t="shared" si="98"/>
        <v>0</v>
      </c>
      <c r="AL110">
        <f t="shared" si="98"/>
        <v>3</v>
      </c>
      <c r="AM110">
        <f t="shared" si="98"/>
        <v>3</v>
      </c>
      <c r="AO110" s="4">
        <v>1984</v>
      </c>
    </row>
    <row r="111" spans="1:41" ht="12.75">
      <c r="A111" s="4">
        <v>1985</v>
      </c>
      <c r="B111">
        <f t="shared" si="93"/>
        <v>0</v>
      </c>
      <c r="C111">
        <f t="shared" si="93"/>
        <v>0</v>
      </c>
      <c r="D111">
        <f t="shared" si="93"/>
        <v>0</v>
      </c>
      <c r="E111">
        <f t="shared" si="93"/>
        <v>0</v>
      </c>
      <c r="F111">
        <f t="shared" si="93"/>
        <v>0</v>
      </c>
      <c r="G111">
        <f t="shared" si="93"/>
        <v>0</v>
      </c>
      <c r="I111" s="4">
        <v>1985</v>
      </c>
      <c r="J111">
        <f t="shared" si="94"/>
        <v>0</v>
      </c>
      <c r="K111">
        <f t="shared" si="94"/>
        <v>0</v>
      </c>
      <c r="L111">
        <f t="shared" si="94"/>
        <v>0</v>
      </c>
      <c r="M111">
        <f t="shared" si="94"/>
        <v>0</v>
      </c>
      <c r="N111">
        <f t="shared" si="94"/>
        <v>0</v>
      </c>
      <c r="O111">
        <f t="shared" si="94"/>
        <v>0</v>
      </c>
      <c r="Q111" s="4">
        <v>1985</v>
      </c>
      <c r="R111">
        <f t="shared" si="95"/>
        <v>0</v>
      </c>
      <c r="S111">
        <f t="shared" si="95"/>
        <v>0</v>
      </c>
      <c r="T111">
        <f t="shared" si="95"/>
        <v>0</v>
      </c>
      <c r="U111">
        <f t="shared" si="95"/>
        <v>0</v>
      </c>
      <c r="V111">
        <f t="shared" si="95"/>
        <v>0</v>
      </c>
      <c r="W111">
        <f t="shared" si="95"/>
        <v>0</v>
      </c>
      <c r="Y111" s="4">
        <v>1985</v>
      </c>
      <c r="Z111">
        <f t="shared" si="96"/>
        <v>0</v>
      </c>
      <c r="AA111">
        <f t="shared" si="96"/>
        <v>0</v>
      </c>
      <c r="AB111">
        <f t="shared" si="96"/>
        <v>0</v>
      </c>
      <c r="AC111">
        <f t="shared" si="96"/>
        <v>0</v>
      </c>
      <c r="AD111">
        <f t="shared" si="96"/>
        <v>0</v>
      </c>
      <c r="AE111">
        <f t="shared" si="96"/>
        <v>0</v>
      </c>
      <c r="AG111" s="4">
        <v>1985</v>
      </c>
      <c r="AH111">
        <f aca="true" t="shared" si="99" ref="AH111:AM111">AH90+AH48+AH27</f>
        <v>0</v>
      </c>
      <c r="AI111">
        <f t="shared" si="99"/>
        <v>0</v>
      </c>
      <c r="AJ111">
        <f t="shared" si="99"/>
        <v>0</v>
      </c>
      <c r="AK111">
        <f t="shared" si="99"/>
        <v>0</v>
      </c>
      <c r="AL111">
        <f t="shared" si="99"/>
        <v>0</v>
      </c>
      <c r="AM111">
        <f t="shared" si="99"/>
        <v>0</v>
      </c>
      <c r="AO111" s="4">
        <v>1985</v>
      </c>
    </row>
    <row r="112" spans="1:41" ht="12.75">
      <c r="A112" s="4">
        <v>1986</v>
      </c>
      <c r="B112">
        <f t="shared" si="93"/>
        <v>0</v>
      </c>
      <c r="C112">
        <f t="shared" si="93"/>
        <v>0</v>
      </c>
      <c r="D112">
        <f t="shared" si="93"/>
        <v>0</v>
      </c>
      <c r="E112">
        <f t="shared" si="93"/>
        <v>0</v>
      </c>
      <c r="F112">
        <f t="shared" si="93"/>
        <v>0</v>
      </c>
      <c r="G112">
        <f t="shared" si="93"/>
        <v>0</v>
      </c>
      <c r="I112" s="4">
        <v>1986</v>
      </c>
      <c r="J112">
        <f t="shared" si="94"/>
        <v>0</v>
      </c>
      <c r="K112">
        <f t="shared" si="94"/>
        <v>0</v>
      </c>
      <c r="L112">
        <f t="shared" si="94"/>
        <v>0</v>
      </c>
      <c r="M112">
        <f t="shared" si="94"/>
        <v>0</v>
      </c>
      <c r="N112">
        <f t="shared" si="94"/>
        <v>0</v>
      </c>
      <c r="O112">
        <f t="shared" si="94"/>
        <v>0</v>
      </c>
      <c r="Q112" s="4">
        <v>1986</v>
      </c>
      <c r="R112">
        <f t="shared" si="95"/>
        <v>0</v>
      </c>
      <c r="S112">
        <f t="shared" si="95"/>
        <v>0</v>
      </c>
      <c r="T112">
        <f t="shared" si="95"/>
        <v>0</v>
      </c>
      <c r="U112">
        <f t="shared" si="95"/>
        <v>0</v>
      </c>
      <c r="V112">
        <f t="shared" si="95"/>
        <v>0</v>
      </c>
      <c r="W112">
        <f t="shared" si="95"/>
        <v>0</v>
      </c>
      <c r="Y112" s="4">
        <v>1986</v>
      </c>
      <c r="Z112">
        <f t="shared" si="96"/>
        <v>0</v>
      </c>
      <c r="AA112">
        <f t="shared" si="96"/>
        <v>0</v>
      </c>
      <c r="AB112">
        <f t="shared" si="96"/>
        <v>0</v>
      </c>
      <c r="AC112">
        <f t="shared" si="96"/>
        <v>0</v>
      </c>
      <c r="AD112">
        <f t="shared" si="96"/>
        <v>0</v>
      </c>
      <c r="AE112">
        <f t="shared" si="96"/>
        <v>0</v>
      </c>
      <c r="AG112" s="4">
        <v>1986</v>
      </c>
      <c r="AH112">
        <f aca="true" t="shared" si="100" ref="AH112:AM112">AH91+AH49+AH28</f>
        <v>0</v>
      </c>
      <c r="AI112">
        <f t="shared" si="100"/>
        <v>0</v>
      </c>
      <c r="AJ112">
        <f t="shared" si="100"/>
        <v>0</v>
      </c>
      <c r="AK112">
        <f t="shared" si="100"/>
        <v>0</v>
      </c>
      <c r="AL112">
        <f t="shared" si="100"/>
        <v>0</v>
      </c>
      <c r="AM112">
        <f t="shared" si="100"/>
        <v>0</v>
      </c>
      <c r="AO112" s="4">
        <v>1986</v>
      </c>
    </row>
    <row r="113" spans="1:41" ht="12.75">
      <c r="A113" s="4">
        <v>1987</v>
      </c>
      <c r="B113">
        <f t="shared" si="93"/>
        <v>32</v>
      </c>
      <c r="C113">
        <f t="shared" si="93"/>
        <v>0</v>
      </c>
      <c r="D113">
        <f t="shared" si="93"/>
        <v>0</v>
      </c>
      <c r="E113">
        <f t="shared" si="93"/>
        <v>0</v>
      </c>
      <c r="F113">
        <f t="shared" si="93"/>
        <v>2543</v>
      </c>
      <c r="G113">
        <f t="shared" si="93"/>
        <v>2575</v>
      </c>
      <c r="I113" s="4">
        <v>1987</v>
      </c>
      <c r="J113">
        <f t="shared" si="94"/>
        <v>54</v>
      </c>
      <c r="K113">
        <f t="shared" si="94"/>
        <v>0</v>
      </c>
      <c r="L113">
        <f t="shared" si="94"/>
        <v>0</v>
      </c>
      <c r="M113">
        <f t="shared" si="94"/>
        <v>0</v>
      </c>
      <c r="N113">
        <f t="shared" si="94"/>
        <v>3217</v>
      </c>
      <c r="O113">
        <f t="shared" si="94"/>
        <v>3271</v>
      </c>
      <c r="Q113" s="4">
        <v>1987</v>
      </c>
      <c r="R113">
        <f t="shared" si="95"/>
        <v>0</v>
      </c>
      <c r="S113">
        <f t="shared" si="95"/>
        <v>0</v>
      </c>
      <c r="T113">
        <f t="shared" si="95"/>
        <v>0</v>
      </c>
      <c r="U113">
        <f t="shared" si="95"/>
        <v>0</v>
      </c>
      <c r="V113">
        <f t="shared" si="95"/>
        <v>0</v>
      </c>
      <c r="W113">
        <f t="shared" si="95"/>
        <v>0</v>
      </c>
      <c r="Y113" s="4">
        <v>1987</v>
      </c>
      <c r="Z113">
        <f t="shared" si="96"/>
        <v>0</v>
      </c>
      <c r="AA113">
        <f t="shared" si="96"/>
        <v>0</v>
      </c>
      <c r="AB113">
        <f t="shared" si="96"/>
        <v>0</v>
      </c>
      <c r="AC113">
        <f t="shared" si="96"/>
        <v>0</v>
      </c>
      <c r="AD113">
        <f t="shared" si="96"/>
        <v>0</v>
      </c>
      <c r="AE113">
        <f t="shared" si="96"/>
        <v>0</v>
      </c>
      <c r="AG113" s="4">
        <v>1987</v>
      </c>
      <c r="AH113">
        <f aca="true" t="shared" si="101" ref="AH113:AM113">AH92+AH50+AH29</f>
        <v>0</v>
      </c>
      <c r="AI113">
        <f t="shared" si="101"/>
        <v>0</v>
      </c>
      <c r="AJ113">
        <f t="shared" si="101"/>
        <v>0</v>
      </c>
      <c r="AK113">
        <f t="shared" si="101"/>
        <v>0</v>
      </c>
      <c r="AL113">
        <f t="shared" si="101"/>
        <v>0</v>
      </c>
      <c r="AM113">
        <f t="shared" si="101"/>
        <v>0</v>
      </c>
      <c r="AO113" s="4">
        <v>1987</v>
      </c>
    </row>
    <row r="114" spans="1:41" ht="12.75">
      <c r="A114" s="4">
        <v>1988</v>
      </c>
      <c r="B114">
        <f t="shared" si="93"/>
        <v>222</v>
      </c>
      <c r="C114">
        <f t="shared" si="93"/>
        <v>789</v>
      </c>
      <c r="D114">
        <f t="shared" si="93"/>
        <v>488</v>
      </c>
      <c r="E114">
        <f t="shared" si="93"/>
        <v>228</v>
      </c>
      <c r="F114">
        <f t="shared" si="93"/>
        <v>2188</v>
      </c>
      <c r="G114">
        <f t="shared" si="93"/>
        <v>3915</v>
      </c>
      <c r="I114" s="4">
        <v>1988</v>
      </c>
      <c r="J114">
        <f t="shared" si="94"/>
        <v>416</v>
      </c>
      <c r="K114">
        <f t="shared" si="94"/>
        <v>1481</v>
      </c>
      <c r="L114">
        <f t="shared" si="94"/>
        <v>827</v>
      </c>
      <c r="M114">
        <f t="shared" si="94"/>
        <v>570</v>
      </c>
      <c r="N114">
        <f t="shared" si="94"/>
        <v>2552</v>
      </c>
      <c r="O114">
        <f t="shared" si="94"/>
        <v>5846</v>
      </c>
      <c r="Q114" s="4">
        <v>1988</v>
      </c>
      <c r="R114">
        <f t="shared" si="95"/>
        <v>0</v>
      </c>
      <c r="S114">
        <f t="shared" si="95"/>
        <v>0</v>
      </c>
      <c r="T114">
        <f t="shared" si="95"/>
        <v>1</v>
      </c>
      <c r="U114">
        <f t="shared" si="95"/>
        <v>0</v>
      </c>
      <c r="V114">
        <f t="shared" si="95"/>
        <v>1</v>
      </c>
      <c r="W114">
        <f t="shared" si="95"/>
        <v>2</v>
      </c>
      <c r="Y114" s="4">
        <v>1988</v>
      </c>
      <c r="Z114">
        <f t="shared" si="96"/>
        <v>0</v>
      </c>
      <c r="AA114">
        <f t="shared" si="96"/>
        <v>0</v>
      </c>
      <c r="AB114">
        <f t="shared" si="96"/>
        <v>0</v>
      </c>
      <c r="AC114">
        <f t="shared" si="96"/>
        <v>0</v>
      </c>
      <c r="AD114">
        <f t="shared" si="96"/>
        <v>0</v>
      </c>
      <c r="AE114">
        <f t="shared" si="96"/>
        <v>0</v>
      </c>
      <c r="AG114" s="4">
        <v>1988</v>
      </c>
      <c r="AH114">
        <f aca="true" t="shared" si="102" ref="AH114:AM114">AH93+AH51+AH30</f>
        <v>0</v>
      </c>
      <c r="AI114">
        <f t="shared" si="102"/>
        <v>9</v>
      </c>
      <c r="AJ114">
        <f t="shared" si="102"/>
        <v>3</v>
      </c>
      <c r="AK114">
        <f t="shared" si="102"/>
        <v>3</v>
      </c>
      <c r="AL114">
        <f t="shared" si="102"/>
        <v>13</v>
      </c>
      <c r="AM114">
        <f t="shared" si="102"/>
        <v>28</v>
      </c>
      <c r="AO114" s="4">
        <v>1988</v>
      </c>
    </row>
    <row r="115" spans="1:41" ht="12.75">
      <c r="A115" s="4">
        <v>1989</v>
      </c>
      <c r="B115">
        <f t="shared" si="93"/>
        <v>253</v>
      </c>
      <c r="C115">
        <f t="shared" si="93"/>
        <v>860</v>
      </c>
      <c r="D115">
        <f t="shared" si="93"/>
        <v>471</v>
      </c>
      <c r="E115">
        <f t="shared" si="93"/>
        <v>290</v>
      </c>
      <c r="F115">
        <f t="shared" si="93"/>
        <v>669</v>
      </c>
      <c r="G115">
        <f t="shared" si="93"/>
        <v>2543</v>
      </c>
      <c r="I115" s="4">
        <v>1989</v>
      </c>
      <c r="J115">
        <f t="shared" si="94"/>
        <v>466</v>
      </c>
      <c r="K115">
        <f t="shared" si="94"/>
        <v>1769</v>
      </c>
      <c r="L115">
        <f t="shared" si="94"/>
        <v>840</v>
      </c>
      <c r="M115">
        <f t="shared" si="94"/>
        <v>932</v>
      </c>
      <c r="N115">
        <f t="shared" si="94"/>
        <v>485</v>
      </c>
      <c r="O115">
        <f t="shared" si="94"/>
        <v>4492</v>
      </c>
      <c r="Q115" s="4">
        <v>1989</v>
      </c>
      <c r="R115">
        <f t="shared" si="95"/>
        <v>0</v>
      </c>
      <c r="S115">
        <f t="shared" si="95"/>
        <v>0</v>
      </c>
      <c r="T115">
        <f t="shared" si="95"/>
        <v>0</v>
      </c>
      <c r="U115">
        <f t="shared" si="95"/>
        <v>0</v>
      </c>
      <c r="V115">
        <f t="shared" si="95"/>
        <v>0</v>
      </c>
      <c r="W115">
        <f t="shared" si="95"/>
        <v>0</v>
      </c>
      <c r="Y115" s="4">
        <v>1989</v>
      </c>
      <c r="Z115">
        <f t="shared" si="96"/>
        <v>0</v>
      </c>
      <c r="AA115">
        <f t="shared" si="96"/>
        <v>0</v>
      </c>
      <c r="AB115">
        <f t="shared" si="96"/>
        <v>0</v>
      </c>
      <c r="AC115">
        <f t="shared" si="96"/>
        <v>0</v>
      </c>
      <c r="AD115">
        <f t="shared" si="96"/>
        <v>0</v>
      </c>
      <c r="AE115">
        <f t="shared" si="96"/>
        <v>0</v>
      </c>
      <c r="AG115" s="4">
        <v>1989</v>
      </c>
      <c r="AH115">
        <f aca="true" t="shared" si="103" ref="AH115:AM115">AH94+AH52+AH31</f>
        <v>3</v>
      </c>
      <c r="AI115">
        <f t="shared" si="103"/>
        <v>3</v>
      </c>
      <c r="AJ115">
        <f t="shared" si="103"/>
        <v>0</v>
      </c>
      <c r="AK115">
        <f t="shared" si="103"/>
        <v>3</v>
      </c>
      <c r="AL115">
        <f t="shared" si="103"/>
        <v>4</v>
      </c>
      <c r="AM115">
        <f t="shared" si="103"/>
        <v>13</v>
      </c>
      <c r="AO115" s="4">
        <v>1989</v>
      </c>
    </row>
    <row r="116" spans="1:41" ht="12.75">
      <c r="A116" s="4">
        <v>1990</v>
      </c>
      <c r="B116">
        <f t="shared" si="93"/>
        <v>255</v>
      </c>
      <c r="C116">
        <f t="shared" si="93"/>
        <v>889</v>
      </c>
      <c r="D116">
        <f t="shared" si="93"/>
        <v>579</v>
      </c>
      <c r="E116">
        <f t="shared" si="93"/>
        <v>302</v>
      </c>
      <c r="F116">
        <f t="shared" si="93"/>
        <v>808</v>
      </c>
      <c r="G116">
        <f t="shared" si="93"/>
        <v>2833</v>
      </c>
      <c r="I116" s="4">
        <v>1990</v>
      </c>
      <c r="J116">
        <f t="shared" si="94"/>
        <v>530</v>
      </c>
      <c r="K116">
        <f t="shared" si="94"/>
        <v>1971</v>
      </c>
      <c r="L116">
        <f t="shared" si="94"/>
        <v>1016</v>
      </c>
      <c r="M116">
        <f t="shared" si="94"/>
        <v>1333</v>
      </c>
      <c r="N116">
        <f t="shared" si="94"/>
        <v>606</v>
      </c>
      <c r="O116">
        <f t="shared" si="94"/>
        <v>5456</v>
      </c>
      <c r="Q116" s="4">
        <v>1990</v>
      </c>
      <c r="R116">
        <f t="shared" si="95"/>
        <v>0</v>
      </c>
      <c r="S116">
        <f t="shared" si="95"/>
        <v>1</v>
      </c>
      <c r="T116">
        <f t="shared" si="95"/>
        <v>0</v>
      </c>
      <c r="U116">
        <f t="shared" si="95"/>
        <v>0</v>
      </c>
      <c r="V116">
        <f t="shared" si="95"/>
        <v>1</v>
      </c>
      <c r="W116">
        <f t="shared" si="95"/>
        <v>2</v>
      </c>
      <c r="Y116" s="4">
        <v>1990</v>
      </c>
      <c r="Z116">
        <f t="shared" si="96"/>
        <v>0</v>
      </c>
      <c r="AA116">
        <f t="shared" si="96"/>
        <v>1</v>
      </c>
      <c r="AB116">
        <f t="shared" si="96"/>
        <v>0</v>
      </c>
      <c r="AC116">
        <f t="shared" si="96"/>
        <v>0</v>
      </c>
      <c r="AD116">
        <f t="shared" si="96"/>
        <v>1</v>
      </c>
      <c r="AE116">
        <f t="shared" si="96"/>
        <v>2</v>
      </c>
      <c r="AG116" s="4">
        <v>1990</v>
      </c>
      <c r="AH116">
        <f aca="true" t="shared" si="104" ref="AH116:AM116">AH95+AH53+AH32</f>
        <v>0</v>
      </c>
      <c r="AI116">
        <f t="shared" si="104"/>
        <v>4</v>
      </c>
      <c r="AJ116">
        <f t="shared" si="104"/>
        <v>2</v>
      </c>
      <c r="AK116">
        <f t="shared" si="104"/>
        <v>2</v>
      </c>
      <c r="AL116">
        <f t="shared" si="104"/>
        <v>2</v>
      </c>
      <c r="AM116">
        <f t="shared" si="104"/>
        <v>10</v>
      </c>
      <c r="AO116" s="4">
        <v>1990</v>
      </c>
    </row>
    <row r="117" spans="1:41" ht="12.75">
      <c r="A117" s="4">
        <v>1991</v>
      </c>
      <c r="B117">
        <f t="shared" si="93"/>
        <v>248</v>
      </c>
      <c r="C117">
        <f t="shared" si="93"/>
        <v>863</v>
      </c>
      <c r="D117">
        <f t="shared" si="93"/>
        <v>575</v>
      </c>
      <c r="E117">
        <f t="shared" si="93"/>
        <v>354</v>
      </c>
      <c r="F117">
        <f t="shared" si="93"/>
        <v>744</v>
      </c>
      <c r="G117">
        <f t="shared" si="93"/>
        <v>2784</v>
      </c>
      <c r="I117" s="4">
        <v>1991</v>
      </c>
      <c r="J117">
        <f t="shared" si="94"/>
        <v>575</v>
      </c>
      <c r="K117">
        <f t="shared" si="94"/>
        <v>1905</v>
      </c>
      <c r="L117">
        <f t="shared" si="94"/>
        <v>921</v>
      </c>
      <c r="M117">
        <f t="shared" si="94"/>
        <v>1603</v>
      </c>
      <c r="N117">
        <f t="shared" si="94"/>
        <v>640</v>
      </c>
      <c r="O117">
        <f t="shared" si="94"/>
        <v>5644</v>
      </c>
      <c r="Q117" s="4">
        <v>1991</v>
      </c>
      <c r="R117">
        <f t="shared" si="95"/>
        <v>0</v>
      </c>
      <c r="S117">
        <f t="shared" si="95"/>
        <v>0</v>
      </c>
      <c r="T117">
        <f t="shared" si="95"/>
        <v>1</v>
      </c>
      <c r="U117">
        <f t="shared" si="95"/>
        <v>0</v>
      </c>
      <c r="V117">
        <f t="shared" si="95"/>
        <v>0</v>
      </c>
      <c r="W117">
        <f t="shared" si="95"/>
        <v>1</v>
      </c>
      <c r="Y117" s="4">
        <v>1991</v>
      </c>
      <c r="Z117">
        <f t="shared" si="96"/>
        <v>0</v>
      </c>
      <c r="AA117">
        <f t="shared" si="96"/>
        <v>0</v>
      </c>
      <c r="AB117">
        <f t="shared" si="96"/>
        <v>0</v>
      </c>
      <c r="AC117">
        <f t="shared" si="96"/>
        <v>0</v>
      </c>
      <c r="AD117">
        <f t="shared" si="96"/>
        <v>0</v>
      </c>
      <c r="AE117">
        <f t="shared" si="96"/>
        <v>0</v>
      </c>
      <c r="AG117" s="4">
        <v>1991</v>
      </c>
      <c r="AH117">
        <f aca="true" t="shared" si="105" ref="AH117:AM117">AH96+AH54+AH33</f>
        <v>2</v>
      </c>
      <c r="AI117">
        <f t="shared" si="105"/>
        <v>9</v>
      </c>
      <c r="AJ117">
        <f t="shared" si="105"/>
        <v>4</v>
      </c>
      <c r="AK117">
        <f t="shared" si="105"/>
        <v>3</v>
      </c>
      <c r="AL117">
        <f t="shared" si="105"/>
        <v>6</v>
      </c>
      <c r="AM117">
        <f t="shared" si="105"/>
        <v>24</v>
      </c>
      <c r="AO117" s="4">
        <v>1991</v>
      </c>
    </row>
    <row r="118" spans="1:41" ht="12.75">
      <c r="A118" s="4">
        <v>1992</v>
      </c>
      <c r="B118">
        <f t="shared" si="93"/>
        <v>305</v>
      </c>
      <c r="C118">
        <f t="shared" si="93"/>
        <v>879</v>
      </c>
      <c r="D118">
        <f t="shared" si="93"/>
        <v>581</v>
      </c>
      <c r="E118">
        <f t="shared" si="93"/>
        <v>355</v>
      </c>
      <c r="F118">
        <f t="shared" si="93"/>
        <v>767</v>
      </c>
      <c r="G118">
        <f t="shared" si="93"/>
        <v>2887</v>
      </c>
      <c r="I118" s="4">
        <v>1992</v>
      </c>
      <c r="J118">
        <f t="shared" si="94"/>
        <v>628</v>
      </c>
      <c r="K118">
        <f t="shared" si="94"/>
        <v>1906</v>
      </c>
      <c r="L118">
        <f t="shared" si="94"/>
        <v>873</v>
      </c>
      <c r="M118">
        <f t="shared" si="94"/>
        <v>1901</v>
      </c>
      <c r="N118">
        <f t="shared" si="94"/>
        <v>588</v>
      </c>
      <c r="O118">
        <f t="shared" si="94"/>
        <v>5896</v>
      </c>
      <c r="Q118" s="4">
        <v>1992</v>
      </c>
      <c r="R118">
        <f t="shared" si="95"/>
        <v>1</v>
      </c>
      <c r="S118">
        <f t="shared" si="95"/>
        <v>2</v>
      </c>
      <c r="T118">
        <f t="shared" si="95"/>
        <v>0</v>
      </c>
      <c r="U118">
        <f t="shared" si="95"/>
        <v>0</v>
      </c>
      <c r="V118">
        <f t="shared" si="95"/>
        <v>0</v>
      </c>
      <c r="W118">
        <f t="shared" si="95"/>
        <v>3</v>
      </c>
      <c r="Y118" s="4">
        <v>1992</v>
      </c>
      <c r="Z118">
        <f t="shared" si="96"/>
        <v>0</v>
      </c>
      <c r="AA118">
        <f t="shared" si="96"/>
        <v>1</v>
      </c>
      <c r="AB118">
        <f t="shared" si="96"/>
        <v>1</v>
      </c>
      <c r="AC118">
        <f t="shared" si="96"/>
        <v>1</v>
      </c>
      <c r="AD118">
        <f t="shared" si="96"/>
        <v>1</v>
      </c>
      <c r="AE118">
        <f t="shared" si="96"/>
        <v>4</v>
      </c>
      <c r="AG118" s="4">
        <v>1992</v>
      </c>
      <c r="AH118">
        <f aca="true" t="shared" si="106" ref="AH118:AM118">AH97+AH55+AH34</f>
        <v>0</v>
      </c>
      <c r="AI118">
        <f t="shared" si="106"/>
        <v>0</v>
      </c>
      <c r="AJ118">
        <f t="shared" si="106"/>
        <v>0</v>
      </c>
      <c r="AK118">
        <f t="shared" si="106"/>
        <v>0</v>
      </c>
      <c r="AL118">
        <f t="shared" si="106"/>
        <v>0</v>
      </c>
      <c r="AM118">
        <f t="shared" si="106"/>
        <v>0</v>
      </c>
      <c r="AO118" s="4">
        <v>1992</v>
      </c>
    </row>
    <row r="119" spans="1:41" ht="12.75">
      <c r="A119" s="4">
        <v>1993</v>
      </c>
      <c r="B119">
        <f aca="true" t="shared" si="107" ref="B119:G126">B98+B56+B35</f>
        <v>256</v>
      </c>
      <c r="C119">
        <f t="shared" si="107"/>
        <v>828</v>
      </c>
      <c r="D119">
        <f t="shared" si="107"/>
        <v>453</v>
      </c>
      <c r="E119">
        <f t="shared" si="107"/>
        <v>314</v>
      </c>
      <c r="F119">
        <f t="shared" si="107"/>
        <v>597</v>
      </c>
      <c r="G119">
        <f t="shared" si="107"/>
        <v>2448</v>
      </c>
      <c r="I119" s="4">
        <v>1993</v>
      </c>
      <c r="J119">
        <f aca="true" t="shared" si="108" ref="J119:O126">J98+J56+J35</f>
        <v>676</v>
      </c>
      <c r="K119">
        <f t="shared" si="108"/>
        <v>1783</v>
      </c>
      <c r="L119">
        <f t="shared" si="108"/>
        <v>731</v>
      </c>
      <c r="M119">
        <f t="shared" si="108"/>
        <v>1611</v>
      </c>
      <c r="N119">
        <f t="shared" si="108"/>
        <v>547</v>
      </c>
      <c r="O119">
        <f t="shared" si="108"/>
        <v>5348</v>
      </c>
      <c r="Q119" s="4">
        <v>1993</v>
      </c>
      <c r="R119">
        <f aca="true" t="shared" si="109" ref="R119:W126">R98+R56+R35</f>
        <v>0</v>
      </c>
      <c r="S119">
        <f t="shared" si="109"/>
        <v>1</v>
      </c>
      <c r="T119">
        <f t="shared" si="109"/>
        <v>0</v>
      </c>
      <c r="U119">
        <f t="shared" si="109"/>
        <v>2</v>
      </c>
      <c r="V119">
        <f t="shared" si="109"/>
        <v>0</v>
      </c>
      <c r="W119">
        <f t="shared" si="109"/>
        <v>3</v>
      </c>
      <c r="Y119" s="4">
        <v>1993</v>
      </c>
      <c r="Z119">
        <f aca="true" t="shared" si="110" ref="Z119:AE126">Z98+Z56+Z35</f>
        <v>0</v>
      </c>
      <c r="AA119">
        <f t="shared" si="110"/>
        <v>0</v>
      </c>
      <c r="AB119">
        <f t="shared" si="110"/>
        <v>1</v>
      </c>
      <c r="AC119">
        <f t="shared" si="110"/>
        <v>0</v>
      </c>
      <c r="AD119">
        <f t="shared" si="110"/>
        <v>0</v>
      </c>
      <c r="AE119">
        <f t="shared" si="110"/>
        <v>1</v>
      </c>
      <c r="AG119" s="4">
        <v>1993</v>
      </c>
      <c r="AH119">
        <f aca="true" t="shared" si="111" ref="AH119:AM119">AH98+AH56+AH35</f>
        <v>2</v>
      </c>
      <c r="AI119">
        <f t="shared" si="111"/>
        <v>7</v>
      </c>
      <c r="AJ119">
        <f t="shared" si="111"/>
        <v>3</v>
      </c>
      <c r="AK119">
        <f t="shared" si="111"/>
        <v>5</v>
      </c>
      <c r="AL119">
        <f t="shared" si="111"/>
        <v>5</v>
      </c>
      <c r="AM119">
        <f t="shared" si="111"/>
        <v>22</v>
      </c>
      <c r="AO119" s="4">
        <v>1993</v>
      </c>
    </row>
    <row r="120" spans="1:41" ht="12.75">
      <c r="A120" s="4">
        <v>1994</v>
      </c>
      <c r="B120">
        <f t="shared" si="107"/>
        <v>294</v>
      </c>
      <c r="C120">
        <f t="shared" si="107"/>
        <v>760</v>
      </c>
      <c r="D120">
        <f t="shared" si="107"/>
        <v>432</v>
      </c>
      <c r="E120">
        <f t="shared" si="107"/>
        <v>301</v>
      </c>
      <c r="F120">
        <f t="shared" si="107"/>
        <v>616</v>
      </c>
      <c r="G120">
        <f t="shared" si="107"/>
        <v>2403</v>
      </c>
      <c r="I120" s="4">
        <v>1994</v>
      </c>
      <c r="J120">
        <f t="shared" si="108"/>
        <v>623</v>
      </c>
      <c r="K120">
        <f t="shared" si="108"/>
        <v>1680</v>
      </c>
      <c r="L120">
        <f t="shared" si="108"/>
        <v>666</v>
      </c>
      <c r="M120">
        <f t="shared" si="108"/>
        <v>1581</v>
      </c>
      <c r="N120">
        <f t="shared" si="108"/>
        <v>564</v>
      </c>
      <c r="O120">
        <f t="shared" si="108"/>
        <v>5114</v>
      </c>
      <c r="Q120" s="4">
        <v>1994</v>
      </c>
      <c r="R120">
        <f t="shared" si="109"/>
        <v>0</v>
      </c>
      <c r="S120">
        <f t="shared" si="109"/>
        <v>4</v>
      </c>
      <c r="T120">
        <f t="shared" si="109"/>
        <v>0</v>
      </c>
      <c r="U120">
        <f t="shared" si="109"/>
        <v>0</v>
      </c>
      <c r="V120">
        <f t="shared" si="109"/>
        <v>0</v>
      </c>
      <c r="W120">
        <f t="shared" si="109"/>
        <v>4</v>
      </c>
      <c r="Y120" s="4">
        <v>1994</v>
      </c>
      <c r="Z120">
        <f t="shared" si="110"/>
        <v>0</v>
      </c>
      <c r="AA120">
        <f t="shared" si="110"/>
        <v>0</v>
      </c>
      <c r="AB120">
        <f t="shared" si="110"/>
        <v>0</v>
      </c>
      <c r="AC120">
        <f t="shared" si="110"/>
        <v>0</v>
      </c>
      <c r="AD120">
        <f t="shared" si="110"/>
        <v>1</v>
      </c>
      <c r="AE120">
        <f t="shared" si="110"/>
        <v>1</v>
      </c>
      <c r="AG120" s="4">
        <v>1994</v>
      </c>
      <c r="AH120">
        <f aca="true" t="shared" si="112" ref="AH120:AM120">AH99+AH57+AH36</f>
        <v>7</v>
      </c>
      <c r="AI120">
        <f t="shared" si="112"/>
        <v>10</v>
      </c>
      <c r="AJ120">
        <f t="shared" si="112"/>
        <v>4</v>
      </c>
      <c r="AK120">
        <f t="shared" si="112"/>
        <v>3</v>
      </c>
      <c r="AL120">
        <f t="shared" si="112"/>
        <v>7</v>
      </c>
      <c r="AM120">
        <f t="shared" si="112"/>
        <v>31</v>
      </c>
      <c r="AO120" s="4">
        <v>1994</v>
      </c>
    </row>
    <row r="121" spans="1:41" ht="12.75">
      <c r="A121" s="4">
        <v>1995</v>
      </c>
      <c r="B121">
        <f t="shared" si="107"/>
        <v>267</v>
      </c>
      <c r="C121">
        <f t="shared" si="107"/>
        <v>638</v>
      </c>
      <c r="D121">
        <f t="shared" si="107"/>
        <v>435</v>
      </c>
      <c r="E121">
        <f t="shared" si="107"/>
        <v>316</v>
      </c>
      <c r="F121">
        <f t="shared" si="107"/>
        <v>511</v>
      </c>
      <c r="G121">
        <f t="shared" si="107"/>
        <v>2167</v>
      </c>
      <c r="I121" s="4">
        <v>1995</v>
      </c>
      <c r="J121">
        <f t="shared" si="108"/>
        <v>619</v>
      </c>
      <c r="K121">
        <f t="shared" si="108"/>
        <v>1444</v>
      </c>
      <c r="L121">
        <f t="shared" si="108"/>
        <v>673</v>
      </c>
      <c r="M121">
        <f t="shared" si="108"/>
        <v>1580</v>
      </c>
      <c r="N121">
        <f t="shared" si="108"/>
        <v>548</v>
      </c>
      <c r="O121">
        <f t="shared" si="108"/>
        <v>4864</v>
      </c>
      <c r="Q121" s="4">
        <v>1995</v>
      </c>
      <c r="R121">
        <f t="shared" si="109"/>
        <v>1</v>
      </c>
      <c r="S121">
        <f t="shared" si="109"/>
        <v>4</v>
      </c>
      <c r="T121">
        <f t="shared" si="109"/>
        <v>1</v>
      </c>
      <c r="U121">
        <f t="shared" si="109"/>
        <v>1</v>
      </c>
      <c r="V121">
        <f t="shared" si="109"/>
        <v>1</v>
      </c>
      <c r="W121">
        <f t="shared" si="109"/>
        <v>8</v>
      </c>
      <c r="Y121" s="4">
        <v>1995</v>
      </c>
      <c r="Z121">
        <f t="shared" si="110"/>
        <v>1</v>
      </c>
      <c r="AA121">
        <f t="shared" si="110"/>
        <v>0</v>
      </c>
      <c r="AB121">
        <f t="shared" si="110"/>
        <v>0</v>
      </c>
      <c r="AC121">
        <f t="shared" si="110"/>
        <v>0</v>
      </c>
      <c r="AD121">
        <f t="shared" si="110"/>
        <v>1</v>
      </c>
      <c r="AE121">
        <f t="shared" si="110"/>
        <v>2</v>
      </c>
      <c r="AG121" s="4">
        <v>1995</v>
      </c>
      <c r="AH121">
        <f aca="true" t="shared" si="113" ref="AH121:AM121">AH100+AH58+AH37</f>
        <v>4</v>
      </c>
      <c r="AI121">
        <f t="shared" si="113"/>
        <v>5</v>
      </c>
      <c r="AJ121">
        <f t="shared" si="113"/>
        <v>3</v>
      </c>
      <c r="AK121">
        <f t="shared" si="113"/>
        <v>4</v>
      </c>
      <c r="AL121">
        <f t="shared" si="113"/>
        <v>3</v>
      </c>
      <c r="AM121">
        <f t="shared" si="113"/>
        <v>19</v>
      </c>
      <c r="AO121" s="4">
        <v>1995</v>
      </c>
    </row>
    <row r="122" spans="1:41" ht="12.75">
      <c r="A122" s="4">
        <v>1996</v>
      </c>
      <c r="B122">
        <f t="shared" si="107"/>
        <v>398</v>
      </c>
      <c r="C122">
        <f t="shared" si="107"/>
        <v>798</v>
      </c>
      <c r="D122">
        <f t="shared" si="107"/>
        <v>537</v>
      </c>
      <c r="E122">
        <f t="shared" si="107"/>
        <v>492</v>
      </c>
      <c r="F122">
        <f t="shared" si="107"/>
        <v>695</v>
      </c>
      <c r="G122">
        <f t="shared" si="107"/>
        <v>2920</v>
      </c>
      <c r="I122" s="4">
        <v>1996</v>
      </c>
      <c r="J122">
        <f t="shared" si="108"/>
        <v>762</v>
      </c>
      <c r="K122">
        <f t="shared" si="108"/>
        <v>1599</v>
      </c>
      <c r="L122">
        <f t="shared" si="108"/>
        <v>985</v>
      </c>
      <c r="M122">
        <f t="shared" si="108"/>
        <v>2007</v>
      </c>
      <c r="N122">
        <f t="shared" si="108"/>
        <v>682</v>
      </c>
      <c r="O122">
        <f t="shared" si="108"/>
        <v>6035</v>
      </c>
      <c r="Q122" s="4">
        <v>1996</v>
      </c>
      <c r="R122">
        <f t="shared" si="109"/>
        <v>2</v>
      </c>
      <c r="S122">
        <f t="shared" si="109"/>
        <v>1</v>
      </c>
      <c r="T122">
        <f t="shared" si="109"/>
        <v>2</v>
      </c>
      <c r="U122">
        <f t="shared" si="109"/>
        <v>2</v>
      </c>
      <c r="V122">
        <f t="shared" si="109"/>
        <v>2</v>
      </c>
      <c r="W122">
        <f t="shared" si="109"/>
        <v>9</v>
      </c>
      <c r="Y122" s="4">
        <v>1996</v>
      </c>
      <c r="Z122">
        <f t="shared" si="110"/>
        <v>1</v>
      </c>
      <c r="AA122">
        <f t="shared" si="110"/>
        <v>0</v>
      </c>
      <c r="AB122">
        <f t="shared" si="110"/>
        <v>0</v>
      </c>
      <c r="AC122">
        <f t="shared" si="110"/>
        <v>0</v>
      </c>
      <c r="AD122">
        <f t="shared" si="110"/>
        <v>0</v>
      </c>
      <c r="AE122">
        <f t="shared" si="110"/>
        <v>1</v>
      </c>
      <c r="AG122" s="4">
        <v>1996</v>
      </c>
      <c r="AH122">
        <f aca="true" t="shared" si="114" ref="AH122:AM122">AH101+AH59+AH38</f>
        <v>4</v>
      </c>
      <c r="AI122">
        <f t="shared" si="114"/>
        <v>4</v>
      </c>
      <c r="AJ122">
        <f t="shared" si="114"/>
        <v>2</v>
      </c>
      <c r="AK122">
        <f t="shared" si="114"/>
        <v>8</v>
      </c>
      <c r="AL122">
        <f t="shared" si="114"/>
        <v>7</v>
      </c>
      <c r="AM122">
        <f t="shared" si="114"/>
        <v>25</v>
      </c>
      <c r="AO122" s="4">
        <v>1996</v>
      </c>
    </row>
    <row r="123" spans="1:41" ht="12.75">
      <c r="A123" s="4">
        <v>1997</v>
      </c>
      <c r="B123">
        <f t="shared" si="107"/>
        <v>0</v>
      </c>
      <c r="C123">
        <f t="shared" si="107"/>
        <v>0</v>
      </c>
      <c r="D123">
        <f t="shared" si="107"/>
        <v>0</v>
      </c>
      <c r="E123">
        <f t="shared" si="107"/>
        <v>0</v>
      </c>
      <c r="F123">
        <f t="shared" si="107"/>
        <v>0</v>
      </c>
      <c r="G123">
        <f t="shared" si="107"/>
        <v>0</v>
      </c>
      <c r="I123" s="4">
        <v>1997</v>
      </c>
      <c r="J123">
        <f t="shared" si="108"/>
        <v>0</v>
      </c>
      <c r="K123">
        <f t="shared" si="108"/>
        <v>0</v>
      </c>
      <c r="L123">
        <f t="shared" si="108"/>
        <v>0</v>
      </c>
      <c r="M123">
        <f t="shared" si="108"/>
        <v>0</v>
      </c>
      <c r="N123">
        <f t="shared" si="108"/>
        <v>0</v>
      </c>
      <c r="O123">
        <f t="shared" si="108"/>
        <v>0</v>
      </c>
      <c r="Q123" s="4">
        <v>1997</v>
      </c>
      <c r="R123">
        <f t="shared" si="109"/>
        <v>0</v>
      </c>
      <c r="S123">
        <f t="shared" si="109"/>
        <v>0</v>
      </c>
      <c r="T123">
        <f t="shared" si="109"/>
        <v>0</v>
      </c>
      <c r="U123">
        <f t="shared" si="109"/>
        <v>0</v>
      </c>
      <c r="V123">
        <f t="shared" si="109"/>
        <v>0</v>
      </c>
      <c r="W123">
        <f t="shared" si="109"/>
        <v>0</v>
      </c>
      <c r="Y123" s="4">
        <v>1997</v>
      </c>
      <c r="Z123">
        <f t="shared" si="110"/>
        <v>0</v>
      </c>
      <c r="AA123">
        <f t="shared" si="110"/>
        <v>0</v>
      </c>
      <c r="AB123">
        <f t="shared" si="110"/>
        <v>0</v>
      </c>
      <c r="AC123">
        <f t="shared" si="110"/>
        <v>0</v>
      </c>
      <c r="AD123">
        <f t="shared" si="110"/>
        <v>0</v>
      </c>
      <c r="AE123">
        <f t="shared" si="110"/>
        <v>0</v>
      </c>
      <c r="AG123" s="4">
        <v>1997</v>
      </c>
      <c r="AH123">
        <f aca="true" t="shared" si="115" ref="AH123:AM123">AH102+AH60+AH39</f>
        <v>0</v>
      </c>
      <c r="AI123">
        <f t="shared" si="115"/>
        <v>0</v>
      </c>
      <c r="AJ123">
        <f t="shared" si="115"/>
        <v>0</v>
      </c>
      <c r="AK123">
        <f t="shared" si="115"/>
        <v>0</v>
      </c>
      <c r="AL123">
        <f t="shared" si="115"/>
        <v>0</v>
      </c>
      <c r="AM123">
        <f t="shared" si="115"/>
        <v>0</v>
      </c>
      <c r="AO123" s="4">
        <v>1997</v>
      </c>
    </row>
    <row r="124" spans="1:41" ht="12.75">
      <c r="A124" s="4">
        <v>1998</v>
      </c>
      <c r="B124">
        <f t="shared" si="107"/>
        <v>345</v>
      </c>
      <c r="C124">
        <f t="shared" si="107"/>
        <v>841</v>
      </c>
      <c r="D124">
        <f t="shared" si="107"/>
        <v>720</v>
      </c>
      <c r="E124">
        <f t="shared" si="107"/>
        <v>489</v>
      </c>
      <c r="F124">
        <f t="shared" si="107"/>
        <v>631</v>
      </c>
      <c r="G124">
        <f t="shared" si="107"/>
        <v>3026</v>
      </c>
      <c r="I124" s="4">
        <v>1998</v>
      </c>
      <c r="J124">
        <f t="shared" si="108"/>
        <v>769</v>
      </c>
      <c r="K124">
        <f t="shared" si="108"/>
        <v>1589</v>
      </c>
      <c r="L124">
        <f t="shared" si="108"/>
        <v>1197</v>
      </c>
      <c r="M124">
        <f t="shared" si="108"/>
        <v>2100</v>
      </c>
      <c r="N124">
        <f t="shared" si="108"/>
        <v>622</v>
      </c>
      <c r="O124">
        <f t="shared" si="108"/>
        <v>6277</v>
      </c>
      <c r="Q124" s="4">
        <v>1998</v>
      </c>
      <c r="R124">
        <f t="shared" si="109"/>
        <v>0</v>
      </c>
      <c r="S124">
        <f t="shared" si="109"/>
        <v>3</v>
      </c>
      <c r="T124">
        <f t="shared" si="109"/>
        <v>2</v>
      </c>
      <c r="U124">
        <f t="shared" si="109"/>
        <v>3</v>
      </c>
      <c r="V124">
        <f t="shared" si="109"/>
        <v>1</v>
      </c>
      <c r="W124">
        <f t="shared" si="109"/>
        <v>9</v>
      </c>
      <c r="Y124" s="4">
        <v>1998</v>
      </c>
      <c r="Z124">
        <f t="shared" si="110"/>
        <v>0</v>
      </c>
      <c r="AA124">
        <f t="shared" si="110"/>
        <v>1</v>
      </c>
      <c r="AB124">
        <f t="shared" si="110"/>
        <v>0</v>
      </c>
      <c r="AC124">
        <f t="shared" si="110"/>
        <v>1</v>
      </c>
      <c r="AD124">
        <f t="shared" si="110"/>
        <v>1</v>
      </c>
      <c r="AE124">
        <f t="shared" si="110"/>
        <v>3</v>
      </c>
      <c r="AG124" s="4">
        <v>1998</v>
      </c>
      <c r="AH124">
        <f aca="true" t="shared" si="116" ref="AH124:AM124">AH103+AH61+AH40</f>
        <v>4</v>
      </c>
      <c r="AI124">
        <f t="shared" si="116"/>
        <v>7</v>
      </c>
      <c r="AJ124">
        <f t="shared" si="116"/>
        <v>3</v>
      </c>
      <c r="AK124">
        <f t="shared" si="116"/>
        <v>6</v>
      </c>
      <c r="AL124">
        <f t="shared" si="116"/>
        <v>5</v>
      </c>
      <c r="AM124">
        <f t="shared" si="116"/>
        <v>25</v>
      </c>
      <c r="AO124" s="4">
        <v>1998</v>
      </c>
    </row>
    <row r="125" spans="1:41" ht="12.75">
      <c r="A125" s="4">
        <v>1999</v>
      </c>
      <c r="B125">
        <f t="shared" si="107"/>
        <v>403</v>
      </c>
      <c r="C125">
        <f t="shared" si="107"/>
        <v>896</v>
      </c>
      <c r="D125">
        <f t="shared" si="107"/>
        <v>985</v>
      </c>
      <c r="E125">
        <f t="shared" si="107"/>
        <v>654</v>
      </c>
      <c r="F125">
        <f t="shared" si="107"/>
        <v>912</v>
      </c>
      <c r="G125">
        <f t="shared" si="107"/>
        <v>3850</v>
      </c>
      <c r="I125" s="4">
        <v>1999</v>
      </c>
      <c r="J125">
        <f t="shared" si="108"/>
        <v>878</v>
      </c>
      <c r="K125">
        <f t="shared" si="108"/>
        <v>1824</v>
      </c>
      <c r="L125">
        <f t="shared" si="108"/>
        <v>1669</v>
      </c>
      <c r="M125">
        <f t="shared" si="108"/>
        <v>2990</v>
      </c>
      <c r="N125">
        <f t="shared" si="108"/>
        <v>880</v>
      </c>
      <c r="O125">
        <f t="shared" si="108"/>
        <v>8241</v>
      </c>
      <c r="Q125" s="4">
        <v>1999</v>
      </c>
      <c r="R125">
        <f t="shared" si="109"/>
        <v>2</v>
      </c>
      <c r="S125">
        <f t="shared" si="109"/>
        <v>3</v>
      </c>
      <c r="T125">
        <f t="shared" si="109"/>
        <v>1</v>
      </c>
      <c r="U125">
        <f t="shared" si="109"/>
        <v>1</v>
      </c>
      <c r="V125">
        <f t="shared" si="109"/>
        <v>0</v>
      </c>
      <c r="W125">
        <f t="shared" si="109"/>
        <v>7</v>
      </c>
      <c r="Y125" s="4">
        <v>1999</v>
      </c>
      <c r="Z125">
        <f t="shared" si="110"/>
        <v>1</v>
      </c>
      <c r="AA125">
        <f t="shared" si="110"/>
        <v>1</v>
      </c>
      <c r="AB125">
        <f t="shared" si="110"/>
        <v>3</v>
      </c>
      <c r="AC125">
        <f t="shared" si="110"/>
        <v>0</v>
      </c>
      <c r="AD125">
        <f t="shared" si="110"/>
        <v>2</v>
      </c>
      <c r="AE125">
        <f t="shared" si="110"/>
        <v>7</v>
      </c>
      <c r="AG125" s="4">
        <v>1999</v>
      </c>
      <c r="AH125">
        <f aca="true" t="shared" si="117" ref="AH125:AM125">AH104+AH62+AH41</f>
        <v>4</v>
      </c>
      <c r="AI125">
        <f t="shared" si="117"/>
        <v>3</v>
      </c>
      <c r="AJ125">
        <f t="shared" si="117"/>
        <v>7</v>
      </c>
      <c r="AK125">
        <f t="shared" si="117"/>
        <v>15</v>
      </c>
      <c r="AL125">
        <f t="shared" si="117"/>
        <v>10</v>
      </c>
      <c r="AM125">
        <f t="shared" si="117"/>
        <v>39</v>
      </c>
      <c r="AO125" s="4">
        <v>1999</v>
      </c>
    </row>
    <row r="126" spans="1:41" ht="12.75">
      <c r="A126" s="4" t="s">
        <v>13</v>
      </c>
      <c r="B126">
        <f t="shared" si="107"/>
        <v>3566</v>
      </c>
      <c r="C126">
        <f t="shared" si="107"/>
        <v>10521</v>
      </c>
      <c r="D126">
        <f t="shared" si="107"/>
        <v>7262</v>
      </c>
      <c r="E126">
        <f t="shared" si="107"/>
        <v>4634</v>
      </c>
      <c r="F126">
        <f t="shared" si="107"/>
        <v>12729</v>
      </c>
      <c r="G126">
        <f t="shared" si="107"/>
        <v>38712</v>
      </c>
      <c r="I126" s="4" t="s">
        <v>13</v>
      </c>
      <c r="J126">
        <f t="shared" si="108"/>
        <v>7435</v>
      </c>
      <c r="K126">
        <f t="shared" si="108"/>
        <v>20882</v>
      </c>
      <c r="L126">
        <f t="shared" si="108"/>
        <v>11557</v>
      </c>
      <c r="M126">
        <f t="shared" si="108"/>
        <v>18657</v>
      </c>
      <c r="N126">
        <f t="shared" si="108"/>
        <v>12586</v>
      </c>
      <c r="O126">
        <f t="shared" si="108"/>
        <v>71117</v>
      </c>
      <c r="Q126" s="4" t="s">
        <v>13</v>
      </c>
      <c r="R126">
        <f t="shared" si="109"/>
        <v>6</v>
      </c>
      <c r="S126">
        <f t="shared" si="109"/>
        <v>19</v>
      </c>
      <c r="T126">
        <f t="shared" si="109"/>
        <v>8</v>
      </c>
      <c r="U126">
        <f t="shared" si="109"/>
        <v>9</v>
      </c>
      <c r="V126">
        <f t="shared" si="109"/>
        <v>6</v>
      </c>
      <c r="W126">
        <f t="shared" si="109"/>
        <v>48</v>
      </c>
      <c r="Y126" s="4" t="s">
        <v>13</v>
      </c>
      <c r="Z126">
        <f t="shared" si="110"/>
        <v>3</v>
      </c>
      <c r="AA126">
        <f t="shared" si="110"/>
        <v>6</v>
      </c>
      <c r="AB126">
        <f t="shared" si="110"/>
        <v>6</v>
      </c>
      <c r="AC126">
        <f t="shared" si="110"/>
        <v>3</v>
      </c>
      <c r="AD126">
        <f t="shared" si="110"/>
        <v>6</v>
      </c>
      <c r="AE126">
        <f t="shared" si="110"/>
        <v>12</v>
      </c>
      <c r="AG126" s="4" t="s">
        <v>13</v>
      </c>
      <c r="AH126">
        <f aca="true" t="shared" si="118" ref="AH126:AM126">AH105+AH63+AH42</f>
        <v>28</v>
      </c>
      <c r="AI126">
        <f t="shared" si="118"/>
        <v>59</v>
      </c>
      <c r="AJ126">
        <f t="shared" si="118"/>
        <v>30</v>
      </c>
      <c r="AK126">
        <f t="shared" si="118"/>
        <v>47</v>
      </c>
      <c r="AL126">
        <f t="shared" si="118"/>
        <v>63</v>
      </c>
      <c r="AM126">
        <f t="shared" si="118"/>
        <v>116</v>
      </c>
      <c r="AO126" s="4" t="s">
        <v>13</v>
      </c>
    </row>
    <row r="128" spans="1:41" ht="12.75">
      <c r="A128" s="4" t="s">
        <v>11</v>
      </c>
      <c r="I128" s="4" t="s">
        <v>12</v>
      </c>
      <c r="Q128" s="4" t="s">
        <v>28</v>
      </c>
      <c r="Y128" s="4" t="s">
        <v>29</v>
      </c>
      <c r="AG128" s="4" t="s">
        <v>26</v>
      </c>
      <c r="AO128" s="4" t="s">
        <v>27</v>
      </c>
    </row>
    <row r="129" spans="1:47" ht="12.75">
      <c r="A129" s="4" t="s">
        <v>10</v>
      </c>
      <c r="B129" s="12" t="s">
        <v>0</v>
      </c>
      <c r="C129" s="12" t="s">
        <v>5</v>
      </c>
      <c r="D129" s="12" t="s">
        <v>6</v>
      </c>
      <c r="E129" s="12" t="s">
        <v>1</v>
      </c>
      <c r="F129" s="12" t="s">
        <v>4</v>
      </c>
      <c r="G129" s="12" t="s">
        <v>13</v>
      </c>
      <c r="I129" s="4" t="s">
        <v>10</v>
      </c>
      <c r="J129" s="12" t="s">
        <v>0</v>
      </c>
      <c r="K129" s="12" t="s">
        <v>5</v>
      </c>
      <c r="L129" s="12" t="s">
        <v>6</v>
      </c>
      <c r="M129" s="12" t="s">
        <v>1</v>
      </c>
      <c r="N129" s="12" t="s">
        <v>4</v>
      </c>
      <c r="O129" s="12" t="s">
        <v>13</v>
      </c>
      <c r="Q129" s="4" t="s">
        <v>10</v>
      </c>
      <c r="R129" s="12" t="s">
        <v>0</v>
      </c>
      <c r="S129" s="12" t="s">
        <v>5</v>
      </c>
      <c r="T129" s="12" t="s">
        <v>6</v>
      </c>
      <c r="U129" s="12" t="s">
        <v>1</v>
      </c>
      <c r="V129" s="12" t="s">
        <v>4</v>
      </c>
      <c r="W129" s="12" t="s">
        <v>13</v>
      </c>
      <c r="Y129" s="4" t="s">
        <v>10</v>
      </c>
      <c r="Z129" s="12" t="s">
        <v>0</v>
      </c>
      <c r="AA129" s="12" t="s">
        <v>5</v>
      </c>
      <c r="AB129" s="12" t="s">
        <v>6</v>
      </c>
      <c r="AC129" s="12" t="s">
        <v>1</v>
      </c>
      <c r="AD129" s="12" t="s">
        <v>4</v>
      </c>
      <c r="AE129" s="12" t="s">
        <v>13</v>
      </c>
      <c r="AG129" s="4" t="s">
        <v>10</v>
      </c>
      <c r="AH129" s="12" t="s">
        <v>0</v>
      </c>
      <c r="AI129" s="12" t="s">
        <v>5</v>
      </c>
      <c r="AJ129" s="12" t="s">
        <v>6</v>
      </c>
      <c r="AK129" s="12" t="s">
        <v>1</v>
      </c>
      <c r="AL129" s="12" t="s">
        <v>4</v>
      </c>
      <c r="AM129" s="12" t="s">
        <v>13</v>
      </c>
      <c r="AO129" s="4" t="s">
        <v>10</v>
      </c>
      <c r="AP129" s="12" t="s">
        <v>0</v>
      </c>
      <c r="AQ129" s="12" t="s">
        <v>5</v>
      </c>
      <c r="AR129" s="12" t="s">
        <v>6</v>
      </c>
      <c r="AS129" s="12" t="s">
        <v>1</v>
      </c>
      <c r="AT129" s="12" t="s">
        <v>4</v>
      </c>
      <c r="AU129" s="12" t="s">
        <v>13</v>
      </c>
    </row>
    <row r="130" spans="1:41" ht="12.75">
      <c r="A130" s="4">
        <v>1983</v>
      </c>
      <c r="B130">
        <f aca="true" t="shared" si="119" ref="B130:G139">B4+B25+B46+B88</f>
        <v>616</v>
      </c>
      <c r="C130">
        <f t="shared" si="119"/>
        <v>1611</v>
      </c>
      <c r="D130">
        <f t="shared" si="119"/>
        <v>832</v>
      </c>
      <c r="E130">
        <f t="shared" si="119"/>
        <v>564</v>
      </c>
      <c r="F130">
        <f t="shared" si="119"/>
        <v>724</v>
      </c>
      <c r="G130">
        <f t="shared" si="119"/>
        <v>4347</v>
      </c>
      <c r="I130" s="4">
        <v>1983</v>
      </c>
      <c r="J130">
        <f aca="true" t="shared" si="120" ref="J130:O130">J4+J25+J46+J88</f>
        <v>902</v>
      </c>
      <c r="K130">
        <f t="shared" si="120"/>
        <v>2434</v>
      </c>
      <c r="L130">
        <f t="shared" si="120"/>
        <v>1000</v>
      </c>
      <c r="M130">
        <f t="shared" si="120"/>
        <v>490</v>
      </c>
      <c r="N130">
        <f t="shared" si="120"/>
        <v>477</v>
      </c>
      <c r="O130">
        <f t="shared" si="120"/>
        <v>5303</v>
      </c>
      <c r="Q130" s="4">
        <v>1983</v>
      </c>
      <c r="R130">
        <f aca="true" t="shared" si="121" ref="R130:W130">R4+R25+R46+R88</f>
        <v>0</v>
      </c>
      <c r="S130">
        <f t="shared" si="121"/>
        <v>0</v>
      </c>
      <c r="T130">
        <f t="shared" si="121"/>
        <v>0</v>
      </c>
      <c r="U130">
        <f t="shared" si="121"/>
        <v>0</v>
      </c>
      <c r="V130">
        <f t="shared" si="121"/>
        <v>0</v>
      </c>
      <c r="W130">
        <f t="shared" si="121"/>
        <v>0</v>
      </c>
      <c r="Y130" s="4">
        <v>1983</v>
      </c>
      <c r="Z130">
        <f aca="true" t="shared" si="122" ref="Z130:AE130">Z4+Z25+Z46+Z88</f>
        <v>0</v>
      </c>
      <c r="AA130">
        <f t="shared" si="122"/>
        <v>0</v>
      </c>
      <c r="AB130">
        <f t="shared" si="122"/>
        <v>0</v>
      </c>
      <c r="AC130">
        <f t="shared" si="122"/>
        <v>0</v>
      </c>
      <c r="AD130">
        <f t="shared" si="122"/>
        <v>0</v>
      </c>
      <c r="AE130">
        <f t="shared" si="122"/>
        <v>0</v>
      </c>
      <c r="AG130" s="4">
        <v>1983</v>
      </c>
      <c r="AH130">
        <f aca="true" t="shared" si="123" ref="AH130:AM130">AH4+AH25+AH46+AH88</f>
        <v>0</v>
      </c>
      <c r="AI130">
        <f t="shared" si="123"/>
        <v>1</v>
      </c>
      <c r="AJ130">
        <f t="shared" si="123"/>
        <v>0</v>
      </c>
      <c r="AK130">
        <f t="shared" si="123"/>
        <v>0</v>
      </c>
      <c r="AL130">
        <f t="shared" si="123"/>
        <v>0</v>
      </c>
      <c r="AM130">
        <f t="shared" si="123"/>
        <v>1</v>
      </c>
      <c r="AO130" s="4">
        <v>1983</v>
      </c>
    </row>
    <row r="131" spans="1:41" ht="12.75">
      <c r="A131" s="4">
        <v>1984</v>
      </c>
      <c r="B131">
        <f t="shared" si="119"/>
        <v>665</v>
      </c>
      <c r="C131">
        <f t="shared" si="119"/>
        <v>1643</v>
      </c>
      <c r="D131">
        <f t="shared" si="119"/>
        <v>1068</v>
      </c>
      <c r="E131">
        <f t="shared" si="119"/>
        <v>867</v>
      </c>
      <c r="F131">
        <f t="shared" si="119"/>
        <v>1468</v>
      </c>
      <c r="G131">
        <f t="shared" si="119"/>
        <v>5711</v>
      </c>
      <c r="I131" s="4">
        <v>1984</v>
      </c>
      <c r="J131">
        <f aca="true" t="shared" si="124" ref="J131:O131">J5+J26+J47+J89</f>
        <v>965</v>
      </c>
      <c r="K131">
        <f t="shared" si="124"/>
        <v>2303</v>
      </c>
      <c r="L131">
        <f t="shared" si="124"/>
        <v>1385</v>
      </c>
      <c r="M131">
        <f t="shared" si="124"/>
        <v>844</v>
      </c>
      <c r="N131">
        <f t="shared" si="124"/>
        <v>1033</v>
      </c>
      <c r="O131">
        <f t="shared" si="124"/>
        <v>6530</v>
      </c>
      <c r="Q131" s="4">
        <v>1984</v>
      </c>
      <c r="R131">
        <f aca="true" t="shared" si="125" ref="R131:W131">R5+R26+R47+R89</f>
        <v>0</v>
      </c>
      <c r="S131">
        <f t="shared" si="125"/>
        <v>0</v>
      </c>
      <c r="T131">
        <f t="shared" si="125"/>
        <v>0</v>
      </c>
      <c r="U131">
        <f t="shared" si="125"/>
        <v>0</v>
      </c>
      <c r="V131">
        <f t="shared" si="125"/>
        <v>0</v>
      </c>
      <c r="W131">
        <f t="shared" si="125"/>
        <v>0</v>
      </c>
      <c r="Y131" s="4">
        <v>1984</v>
      </c>
      <c r="Z131">
        <f aca="true" t="shared" si="126" ref="Z131:AE131">Z5+Z26+Z47+Z89</f>
        <v>0</v>
      </c>
      <c r="AA131">
        <f t="shared" si="126"/>
        <v>0</v>
      </c>
      <c r="AB131">
        <f t="shared" si="126"/>
        <v>0</v>
      </c>
      <c r="AC131">
        <f t="shared" si="126"/>
        <v>0</v>
      </c>
      <c r="AD131">
        <f t="shared" si="126"/>
        <v>0</v>
      </c>
      <c r="AE131">
        <f t="shared" si="126"/>
        <v>0</v>
      </c>
      <c r="AG131" s="4">
        <v>1984</v>
      </c>
      <c r="AH131">
        <f aca="true" t="shared" si="127" ref="AH131:AM131">AH5+AH26+AH47+AH89</f>
        <v>0</v>
      </c>
      <c r="AI131">
        <f t="shared" si="127"/>
        <v>1</v>
      </c>
      <c r="AJ131">
        <f t="shared" si="127"/>
        <v>0</v>
      </c>
      <c r="AK131">
        <f t="shared" si="127"/>
        <v>0</v>
      </c>
      <c r="AL131">
        <f t="shared" si="127"/>
        <v>4</v>
      </c>
      <c r="AM131">
        <f t="shared" si="127"/>
        <v>5</v>
      </c>
      <c r="AO131" s="4">
        <v>1984</v>
      </c>
    </row>
    <row r="132" spans="1:41" ht="12.75">
      <c r="A132" s="4">
        <v>1985</v>
      </c>
      <c r="B132">
        <f t="shared" si="119"/>
        <v>0</v>
      </c>
      <c r="C132">
        <f t="shared" si="119"/>
        <v>0</v>
      </c>
      <c r="D132">
        <f t="shared" si="119"/>
        <v>0</v>
      </c>
      <c r="E132">
        <f t="shared" si="119"/>
        <v>0</v>
      </c>
      <c r="F132">
        <f t="shared" si="119"/>
        <v>0</v>
      </c>
      <c r="G132">
        <f t="shared" si="119"/>
        <v>0</v>
      </c>
      <c r="I132" s="4">
        <v>1985</v>
      </c>
      <c r="J132">
        <f aca="true" t="shared" si="128" ref="J132:O132">J6+J27+J48+J90</f>
        <v>0</v>
      </c>
      <c r="K132">
        <f t="shared" si="128"/>
        <v>0</v>
      </c>
      <c r="L132">
        <f t="shared" si="128"/>
        <v>0</v>
      </c>
      <c r="M132">
        <f t="shared" si="128"/>
        <v>0</v>
      </c>
      <c r="N132">
        <f t="shared" si="128"/>
        <v>0</v>
      </c>
      <c r="O132">
        <f t="shared" si="128"/>
        <v>0</v>
      </c>
      <c r="Q132" s="4">
        <v>1985</v>
      </c>
      <c r="R132">
        <f aca="true" t="shared" si="129" ref="R132:W132">R6+R27+R48+R90</f>
        <v>0</v>
      </c>
      <c r="S132">
        <f t="shared" si="129"/>
        <v>0</v>
      </c>
      <c r="T132">
        <f t="shared" si="129"/>
        <v>0</v>
      </c>
      <c r="U132">
        <f t="shared" si="129"/>
        <v>0</v>
      </c>
      <c r="V132">
        <f t="shared" si="129"/>
        <v>0</v>
      </c>
      <c r="W132">
        <f t="shared" si="129"/>
        <v>0</v>
      </c>
      <c r="Y132" s="4">
        <v>1985</v>
      </c>
      <c r="Z132">
        <f aca="true" t="shared" si="130" ref="Z132:AE132">Z6+Z27+Z48+Z90</f>
        <v>0</v>
      </c>
      <c r="AA132">
        <f t="shared" si="130"/>
        <v>0</v>
      </c>
      <c r="AB132">
        <f t="shared" si="130"/>
        <v>0</v>
      </c>
      <c r="AC132">
        <f t="shared" si="130"/>
        <v>0</v>
      </c>
      <c r="AD132">
        <f t="shared" si="130"/>
        <v>0</v>
      </c>
      <c r="AE132">
        <f t="shared" si="130"/>
        <v>0</v>
      </c>
      <c r="AG132" s="4">
        <v>1985</v>
      </c>
      <c r="AH132">
        <f aca="true" t="shared" si="131" ref="AH132:AM132">AH6+AH27+AH48+AH90</f>
        <v>0</v>
      </c>
      <c r="AI132">
        <f t="shared" si="131"/>
        <v>0</v>
      </c>
      <c r="AJ132">
        <f t="shared" si="131"/>
        <v>0</v>
      </c>
      <c r="AK132">
        <f t="shared" si="131"/>
        <v>0</v>
      </c>
      <c r="AL132">
        <f t="shared" si="131"/>
        <v>0</v>
      </c>
      <c r="AM132">
        <f t="shared" si="131"/>
        <v>0</v>
      </c>
      <c r="AO132" s="4">
        <v>1985</v>
      </c>
    </row>
    <row r="133" spans="1:41" ht="12.75">
      <c r="A133" s="4">
        <v>1986</v>
      </c>
      <c r="B133">
        <f t="shared" si="119"/>
        <v>0</v>
      </c>
      <c r="C133">
        <f t="shared" si="119"/>
        <v>0</v>
      </c>
      <c r="D133">
        <f t="shared" si="119"/>
        <v>0</v>
      </c>
      <c r="E133">
        <f t="shared" si="119"/>
        <v>0</v>
      </c>
      <c r="F133">
        <f t="shared" si="119"/>
        <v>0</v>
      </c>
      <c r="G133">
        <f t="shared" si="119"/>
        <v>0</v>
      </c>
      <c r="I133" s="4">
        <v>1986</v>
      </c>
      <c r="J133">
        <f aca="true" t="shared" si="132" ref="J133:O133">J7+J28+J49+J91</f>
        <v>0</v>
      </c>
      <c r="K133">
        <f t="shared" si="132"/>
        <v>0</v>
      </c>
      <c r="L133">
        <f t="shared" si="132"/>
        <v>0</v>
      </c>
      <c r="M133">
        <f t="shared" si="132"/>
        <v>0</v>
      </c>
      <c r="N133">
        <f t="shared" si="132"/>
        <v>0</v>
      </c>
      <c r="O133">
        <f t="shared" si="132"/>
        <v>0</v>
      </c>
      <c r="Q133" s="4">
        <v>1986</v>
      </c>
      <c r="R133">
        <f aca="true" t="shared" si="133" ref="R133:W133">R7+R28+R49+R91</f>
        <v>0</v>
      </c>
      <c r="S133">
        <f t="shared" si="133"/>
        <v>0</v>
      </c>
      <c r="T133">
        <f t="shared" si="133"/>
        <v>0</v>
      </c>
      <c r="U133">
        <f t="shared" si="133"/>
        <v>0</v>
      </c>
      <c r="V133">
        <f t="shared" si="133"/>
        <v>0</v>
      </c>
      <c r="W133">
        <f t="shared" si="133"/>
        <v>0</v>
      </c>
      <c r="Y133" s="4">
        <v>1986</v>
      </c>
      <c r="Z133">
        <f aca="true" t="shared" si="134" ref="Z133:AE133">Z7+Z28+Z49+Z91</f>
        <v>0</v>
      </c>
      <c r="AA133">
        <f t="shared" si="134"/>
        <v>0</v>
      </c>
      <c r="AB133">
        <f t="shared" si="134"/>
        <v>0</v>
      </c>
      <c r="AC133">
        <f t="shared" si="134"/>
        <v>0</v>
      </c>
      <c r="AD133">
        <f t="shared" si="134"/>
        <v>0</v>
      </c>
      <c r="AE133">
        <f t="shared" si="134"/>
        <v>0</v>
      </c>
      <c r="AG133" s="4">
        <v>1986</v>
      </c>
      <c r="AH133">
        <f aca="true" t="shared" si="135" ref="AH133:AM133">AH7+AH28+AH49+AH91</f>
        <v>0</v>
      </c>
      <c r="AI133">
        <f t="shared" si="135"/>
        <v>0</v>
      </c>
      <c r="AJ133">
        <f t="shared" si="135"/>
        <v>0</v>
      </c>
      <c r="AK133">
        <f t="shared" si="135"/>
        <v>0</v>
      </c>
      <c r="AL133">
        <f t="shared" si="135"/>
        <v>0</v>
      </c>
      <c r="AM133">
        <f t="shared" si="135"/>
        <v>0</v>
      </c>
      <c r="AO133" s="4">
        <v>1986</v>
      </c>
    </row>
    <row r="134" spans="1:41" ht="12.75">
      <c r="A134" s="4">
        <v>1987</v>
      </c>
      <c r="B134">
        <f t="shared" si="119"/>
        <v>160</v>
      </c>
      <c r="C134">
        <f t="shared" si="119"/>
        <v>0</v>
      </c>
      <c r="D134">
        <f t="shared" si="119"/>
        <v>0</v>
      </c>
      <c r="E134">
        <f t="shared" si="119"/>
        <v>0</v>
      </c>
      <c r="F134">
        <f t="shared" si="119"/>
        <v>5993</v>
      </c>
      <c r="G134">
        <f t="shared" si="119"/>
        <v>6153</v>
      </c>
      <c r="I134" s="4">
        <v>1987</v>
      </c>
      <c r="J134">
        <f aca="true" t="shared" si="136" ref="J134:O134">J8+J29+J50+J92</f>
        <v>304</v>
      </c>
      <c r="K134">
        <f t="shared" si="136"/>
        <v>0</v>
      </c>
      <c r="L134">
        <f t="shared" si="136"/>
        <v>0</v>
      </c>
      <c r="M134">
        <f t="shared" si="136"/>
        <v>0</v>
      </c>
      <c r="N134">
        <f t="shared" si="136"/>
        <v>8056</v>
      </c>
      <c r="O134">
        <f t="shared" si="136"/>
        <v>8360</v>
      </c>
      <c r="Q134" s="4">
        <v>1987</v>
      </c>
      <c r="R134">
        <f aca="true" t="shared" si="137" ref="R134:W134">R8+R29+R50+R92</f>
        <v>0</v>
      </c>
      <c r="S134">
        <f t="shared" si="137"/>
        <v>0</v>
      </c>
      <c r="T134">
        <f t="shared" si="137"/>
        <v>0</v>
      </c>
      <c r="U134">
        <f t="shared" si="137"/>
        <v>0</v>
      </c>
      <c r="V134">
        <f t="shared" si="137"/>
        <v>0</v>
      </c>
      <c r="W134">
        <f t="shared" si="137"/>
        <v>0</v>
      </c>
      <c r="Y134" s="4">
        <v>1987</v>
      </c>
      <c r="Z134">
        <f aca="true" t="shared" si="138" ref="Z134:AE134">Z8+Z29+Z50+Z92</f>
        <v>0</v>
      </c>
      <c r="AA134">
        <f t="shared" si="138"/>
        <v>0</v>
      </c>
      <c r="AB134">
        <f t="shared" si="138"/>
        <v>0</v>
      </c>
      <c r="AC134">
        <f t="shared" si="138"/>
        <v>0</v>
      </c>
      <c r="AD134">
        <f t="shared" si="138"/>
        <v>0</v>
      </c>
      <c r="AE134">
        <f t="shared" si="138"/>
        <v>0</v>
      </c>
      <c r="AG134" s="4">
        <v>1987</v>
      </c>
      <c r="AH134">
        <f aca="true" t="shared" si="139" ref="AH134:AM134">AH8+AH29+AH50+AH92</f>
        <v>0</v>
      </c>
      <c r="AI134">
        <f t="shared" si="139"/>
        <v>0</v>
      </c>
      <c r="AJ134">
        <f t="shared" si="139"/>
        <v>0</v>
      </c>
      <c r="AK134">
        <f t="shared" si="139"/>
        <v>0</v>
      </c>
      <c r="AL134">
        <f t="shared" si="139"/>
        <v>0</v>
      </c>
      <c r="AM134">
        <f t="shared" si="139"/>
        <v>0</v>
      </c>
      <c r="AO134" s="4">
        <v>1987</v>
      </c>
    </row>
    <row r="135" spans="1:41" ht="12.75">
      <c r="A135" s="4">
        <v>1988</v>
      </c>
      <c r="B135">
        <f t="shared" si="119"/>
        <v>1011</v>
      </c>
      <c r="C135">
        <f t="shared" si="119"/>
        <v>2002</v>
      </c>
      <c r="D135">
        <f t="shared" si="119"/>
        <v>1076</v>
      </c>
      <c r="E135">
        <f t="shared" si="119"/>
        <v>1059</v>
      </c>
      <c r="F135">
        <f t="shared" si="119"/>
        <v>4697</v>
      </c>
      <c r="G135">
        <f t="shared" si="119"/>
        <v>9845</v>
      </c>
      <c r="I135" s="4">
        <v>1988</v>
      </c>
      <c r="J135">
        <f aca="true" t="shared" si="140" ref="J135:O135">J9+J30+J51+J93</f>
        <v>1707</v>
      </c>
      <c r="K135">
        <f t="shared" si="140"/>
        <v>3728</v>
      </c>
      <c r="L135">
        <f t="shared" si="140"/>
        <v>1835</v>
      </c>
      <c r="M135">
        <f t="shared" si="140"/>
        <v>2706</v>
      </c>
      <c r="N135">
        <f t="shared" si="140"/>
        <v>5737</v>
      </c>
      <c r="O135">
        <f t="shared" si="140"/>
        <v>15713</v>
      </c>
      <c r="Q135" s="4">
        <v>1988</v>
      </c>
      <c r="R135">
        <f aca="true" t="shared" si="141" ref="R135:W135">R9+R30+R51+R93</f>
        <v>0</v>
      </c>
      <c r="S135">
        <f t="shared" si="141"/>
        <v>1</v>
      </c>
      <c r="T135">
        <f t="shared" si="141"/>
        <v>1</v>
      </c>
      <c r="U135">
        <f t="shared" si="141"/>
        <v>0</v>
      </c>
      <c r="V135">
        <f t="shared" si="141"/>
        <v>2</v>
      </c>
      <c r="W135">
        <f t="shared" si="141"/>
        <v>4</v>
      </c>
      <c r="Y135" s="4">
        <v>1988</v>
      </c>
      <c r="Z135">
        <f aca="true" t="shared" si="142" ref="Z135:AE135">Z9+Z30+Z51+Z93</f>
        <v>0</v>
      </c>
      <c r="AA135">
        <f t="shared" si="142"/>
        <v>0</v>
      </c>
      <c r="AB135">
        <f t="shared" si="142"/>
        <v>0</v>
      </c>
      <c r="AC135">
        <f t="shared" si="142"/>
        <v>0</v>
      </c>
      <c r="AD135">
        <f t="shared" si="142"/>
        <v>0</v>
      </c>
      <c r="AE135">
        <f t="shared" si="142"/>
        <v>0</v>
      </c>
      <c r="AG135" s="4">
        <v>1988</v>
      </c>
      <c r="AH135">
        <f aca="true" t="shared" si="143" ref="AH135:AM135">AH9+AH30+AH51+AH93</f>
        <v>30</v>
      </c>
      <c r="AI135">
        <f t="shared" si="143"/>
        <v>27</v>
      </c>
      <c r="AJ135">
        <f t="shared" si="143"/>
        <v>11</v>
      </c>
      <c r="AK135">
        <f t="shared" si="143"/>
        <v>75</v>
      </c>
      <c r="AL135">
        <f t="shared" si="143"/>
        <v>49</v>
      </c>
      <c r="AM135">
        <f t="shared" si="143"/>
        <v>192</v>
      </c>
      <c r="AO135" s="4">
        <v>1988</v>
      </c>
    </row>
    <row r="136" spans="1:41" ht="12.75">
      <c r="A136" s="4">
        <v>1989</v>
      </c>
      <c r="B136">
        <f t="shared" si="119"/>
        <v>970</v>
      </c>
      <c r="C136">
        <f t="shared" si="119"/>
        <v>1607</v>
      </c>
      <c r="D136">
        <f t="shared" si="119"/>
        <v>835</v>
      </c>
      <c r="E136">
        <f t="shared" si="119"/>
        <v>927</v>
      </c>
      <c r="F136">
        <f t="shared" si="119"/>
        <v>1282</v>
      </c>
      <c r="G136">
        <f t="shared" si="119"/>
        <v>5621</v>
      </c>
      <c r="I136" s="4">
        <v>1989</v>
      </c>
      <c r="J136">
        <f aca="true" t="shared" si="144" ref="J136:O136">J10+J31+J52+J94</f>
        <v>1478</v>
      </c>
      <c r="K136">
        <f t="shared" si="144"/>
        <v>3458</v>
      </c>
      <c r="L136">
        <f t="shared" si="144"/>
        <v>1397</v>
      </c>
      <c r="M136">
        <f t="shared" si="144"/>
        <v>3037</v>
      </c>
      <c r="N136">
        <f t="shared" si="144"/>
        <v>1049</v>
      </c>
      <c r="O136">
        <f t="shared" si="144"/>
        <v>10419</v>
      </c>
      <c r="Q136" s="4">
        <v>1989</v>
      </c>
      <c r="R136">
        <f aca="true" t="shared" si="145" ref="R136:W136">R10+R31+R52+R94</f>
        <v>3</v>
      </c>
      <c r="S136">
        <f t="shared" si="145"/>
        <v>1</v>
      </c>
      <c r="T136">
        <f t="shared" si="145"/>
        <v>0</v>
      </c>
      <c r="U136">
        <f t="shared" si="145"/>
        <v>1</v>
      </c>
      <c r="V136">
        <f t="shared" si="145"/>
        <v>1</v>
      </c>
      <c r="W136">
        <f t="shared" si="145"/>
        <v>6</v>
      </c>
      <c r="Y136" s="4">
        <v>1989</v>
      </c>
      <c r="Z136">
        <f aca="true" t="shared" si="146" ref="Z136:AE136">Z10+Z31+Z52+Z94</f>
        <v>1</v>
      </c>
      <c r="AA136">
        <f t="shared" si="146"/>
        <v>1</v>
      </c>
      <c r="AB136">
        <f t="shared" si="146"/>
        <v>0</v>
      </c>
      <c r="AC136">
        <f t="shared" si="146"/>
        <v>1</v>
      </c>
      <c r="AD136">
        <f t="shared" si="146"/>
        <v>0</v>
      </c>
      <c r="AE136">
        <f t="shared" si="146"/>
        <v>3</v>
      </c>
      <c r="AG136" s="4">
        <v>1989</v>
      </c>
      <c r="AH136">
        <f aca="true" t="shared" si="147" ref="AH136:AM136">AH10+AH31+AH52+AH94</f>
        <v>21</v>
      </c>
      <c r="AI136">
        <f t="shared" si="147"/>
        <v>12</v>
      </c>
      <c r="AJ136">
        <f t="shared" si="147"/>
        <v>6</v>
      </c>
      <c r="AK136">
        <f t="shared" si="147"/>
        <v>60</v>
      </c>
      <c r="AL136">
        <f t="shared" si="147"/>
        <v>10</v>
      </c>
      <c r="AM136">
        <f t="shared" si="147"/>
        <v>109</v>
      </c>
      <c r="AO136" s="4">
        <v>1989</v>
      </c>
    </row>
    <row r="137" spans="1:41" ht="12.75">
      <c r="A137" s="4">
        <v>1990</v>
      </c>
      <c r="B137">
        <f t="shared" si="119"/>
        <v>963</v>
      </c>
      <c r="C137">
        <f t="shared" si="119"/>
        <v>1638</v>
      </c>
      <c r="D137">
        <f t="shared" si="119"/>
        <v>979</v>
      </c>
      <c r="E137">
        <f t="shared" si="119"/>
        <v>924</v>
      </c>
      <c r="F137">
        <f t="shared" si="119"/>
        <v>1423</v>
      </c>
      <c r="G137">
        <f t="shared" si="119"/>
        <v>5927</v>
      </c>
      <c r="I137" s="4">
        <v>1990</v>
      </c>
      <c r="J137">
        <f aca="true" t="shared" si="148" ref="J137:O137">J11+J32+J53+J95</f>
        <v>1552</v>
      </c>
      <c r="K137">
        <f t="shared" si="148"/>
        <v>3540</v>
      </c>
      <c r="L137">
        <f t="shared" si="148"/>
        <v>1647</v>
      </c>
      <c r="M137">
        <f t="shared" si="148"/>
        <v>3777</v>
      </c>
      <c r="N137">
        <f t="shared" si="148"/>
        <v>1218</v>
      </c>
      <c r="O137">
        <f t="shared" si="148"/>
        <v>11734</v>
      </c>
      <c r="Q137" s="4">
        <v>1990</v>
      </c>
      <c r="R137">
        <f aca="true" t="shared" si="149" ref="R137:W137">R11+R32+R53+R95</f>
        <v>0</v>
      </c>
      <c r="S137">
        <f t="shared" si="149"/>
        <v>2</v>
      </c>
      <c r="T137">
        <f t="shared" si="149"/>
        <v>0</v>
      </c>
      <c r="U137">
        <f t="shared" si="149"/>
        <v>1</v>
      </c>
      <c r="V137">
        <f t="shared" si="149"/>
        <v>2</v>
      </c>
      <c r="W137">
        <f t="shared" si="149"/>
        <v>5</v>
      </c>
      <c r="Y137" s="4">
        <v>1990</v>
      </c>
      <c r="Z137">
        <f aca="true" t="shared" si="150" ref="Z137:AE137">Z11+Z32+Z53+Z95</f>
        <v>1</v>
      </c>
      <c r="AA137">
        <f t="shared" si="150"/>
        <v>2</v>
      </c>
      <c r="AB137">
        <f t="shared" si="150"/>
        <v>0</v>
      </c>
      <c r="AC137">
        <f t="shared" si="150"/>
        <v>0</v>
      </c>
      <c r="AD137">
        <f t="shared" si="150"/>
        <v>1</v>
      </c>
      <c r="AE137">
        <f t="shared" si="150"/>
        <v>4</v>
      </c>
      <c r="AG137" s="4">
        <v>1990</v>
      </c>
      <c r="AH137">
        <f aca="true" t="shared" si="151" ref="AH137:AM137">AH11+AH32+AH53+AH95</f>
        <v>11</v>
      </c>
      <c r="AI137">
        <f t="shared" si="151"/>
        <v>16</v>
      </c>
      <c r="AJ137">
        <f t="shared" si="151"/>
        <v>8</v>
      </c>
      <c r="AK137">
        <f t="shared" si="151"/>
        <v>33</v>
      </c>
      <c r="AL137">
        <f t="shared" si="151"/>
        <v>9</v>
      </c>
      <c r="AM137">
        <f t="shared" si="151"/>
        <v>77</v>
      </c>
      <c r="AO137" s="4">
        <v>1990</v>
      </c>
    </row>
    <row r="138" spans="1:41" ht="12.75">
      <c r="A138" s="4">
        <v>1991</v>
      </c>
      <c r="B138">
        <f t="shared" si="119"/>
        <v>861</v>
      </c>
      <c r="C138">
        <f t="shared" si="119"/>
        <v>1441</v>
      </c>
      <c r="D138">
        <f t="shared" si="119"/>
        <v>945</v>
      </c>
      <c r="E138">
        <f t="shared" si="119"/>
        <v>868</v>
      </c>
      <c r="F138">
        <f t="shared" si="119"/>
        <v>1362</v>
      </c>
      <c r="G138">
        <f t="shared" si="119"/>
        <v>5477</v>
      </c>
      <c r="I138" s="4">
        <v>1991</v>
      </c>
      <c r="J138">
        <f aca="true" t="shared" si="152" ref="J138:O138">J12+J33+J54+J96</f>
        <v>1577</v>
      </c>
      <c r="K138">
        <f t="shared" si="152"/>
        <v>3227</v>
      </c>
      <c r="L138">
        <f t="shared" si="152"/>
        <v>1498</v>
      </c>
      <c r="M138">
        <f t="shared" si="152"/>
        <v>3621</v>
      </c>
      <c r="N138">
        <f t="shared" si="152"/>
        <v>1148</v>
      </c>
      <c r="O138">
        <f t="shared" si="152"/>
        <v>11071</v>
      </c>
      <c r="Q138" s="4">
        <v>1991</v>
      </c>
      <c r="R138">
        <f aca="true" t="shared" si="153" ref="R138:W138">R12+R33+R54+R96</f>
        <v>1</v>
      </c>
      <c r="S138">
        <f t="shared" si="153"/>
        <v>1</v>
      </c>
      <c r="T138">
        <f t="shared" si="153"/>
        <v>1</v>
      </c>
      <c r="U138">
        <f t="shared" si="153"/>
        <v>1</v>
      </c>
      <c r="V138">
        <f t="shared" si="153"/>
        <v>1</v>
      </c>
      <c r="W138">
        <f t="shared" si="153"/>
        <v>5</v>
      </c>
      <c r="Y138" s="4">
        <v>1991</v>
      </c>
      <c r="Z138">
        <f aca="true" t="shared" si="154" ref="Z138:AE138">Z12+Z33+Z54+Z96</f>
        <v>0</v>
      </c>
      <c r="AA138">
        <f t="shared" si="154"/>
        <v>1</v>
      </c>
      <c r="AB138">
        <f t="shared" si="154"/>
        <v>0</v>
      </c>
      <c r="AC138">
        <f t="shared" si="154"/>
        <v>0</v>
      </c>
      <c r="AD138">
        <f t="shared" si="154"/>
        <v>0</v>
      </c>
      <c r="AE138">
        <f t="shared" si="154"/>
        <v>1</v>
      </c>
      <c r="AG138" s="4">
        <v>1991</v>
      </c>
      <c r="AH138">
        <f aca="true" t="shared" si="155" ref="AH138:AM138">AH12+AH33+AH54+AH96</f>
        <v>17</v>
      </c>
      <c r="AI138">
        <f t="shared" si="155"/>
        <v>19</v>
      </c>
      <c r="AJ138">
        <f t="shared" si="155"/>
        <v>6</v>
      </c>
      <c r="AK138">
        <f t="shared" si="155"/>
        <v>17</v>
      </c>
      <c r="AL138">
        <f t="shared" si="155"/>
        <v>14</v>
      </c>
      <c r="AM138">
        <f t="shared" si="155"/>
        <v>73</v>
      </c>
      <c r="AO138" s="4">
        <v>1991</v>
      </c>
    </row>
    <row r="139" spans="1:41" ht="12.75">
      <c r="A139" s="4">
        <v>1992</v>
      </c>
      <c r="B139">
        <f t="shared" si="119"/>
        <v>981</v>
      </c>
      <c r="C139">
        <f t="shared" si="119"/>
        <v>1482</v>
      </c>
      <c r="D139">
        <f t="shared" si="119"/>
        <v>942</v>
      </c>
      <c r="E139">
        <f t="shared" si="119"/>
        <v>805</v>
      </c>
      <c r="F139">
        <f t="shared" si="119"/>
        <v>1365</v>
      </c>
      <c r="G139">
        <f t="shared" si="119"/>
        <v>5575</v>
      </c>
      <c r="I139" s="4">
        <v>1992</v>
      </c>
      <c r="J139">
        <f aca="true" t="shared" si="156" ref="J139:O139">J13+J34+J55+J97</f>
        <v>1664</v>
      </c>
      <c r="K139">
        <f t="shared" si="156"/>
        <v>3152</v>
      </c>
      <c r="L139">
        <f t="shared" si="156"/>
        <v>1488</v>
      </c>
      <c r="M139">
        <f t="shared" si="156"/>
        <v>3818</v>
      </c>
      <c r="N139">
        <f t="shared" si="156"/>
        <v>1155</v>
      </c>
      <c r="O139">
        <f t="shared" si="156"/>
        <v>11277</v>
      </c>
      <c r="Q139" s="4">
        <v>1992</v>
      </c>
      <c r="R139">
        <f aca="true" t="shared" si="157" ref="R139:W139">R13+R34+R55+R97</f>
        <v>4</v>
      </c>
      <c r="S139">
        <f t="shared" si="157"/>
        <v>6</v>
      </c>
      <c r="T139">
        <f t="shared" si="157"/>
        <v>2</v>
      </c>
      <c r="U139">
        <f t="shared" si="157"/>
        <v>4</v>
      </c>
      <c r="V139">
        <f t="shared" si="157"/>
        <v>1</v>
      </c>
      <c r="W139">
        <f t="shared" si="157"/>
        <v>17</v>
      </c>
      <c r="Y139" s="4">
        <v>1992</v>
      </c>
      <c r="Z139">
        <f aca="true" t="shared" si="158" ref="Z139:AE139">Z13+Z34+Z55+Z97</f>
        <v>3</v>
      </c>
      <c r="AA139">
        <f t="shared" si="158"/>
        <v>5</v>
      </c>
      <c r="AB139">
        <f t="shared" si="158"/>
        <v>2</v>
      </c>
      <c r="AC139">
        <f t="shared" si="158"/>
        <v>2</v>
      </c>
      <c r="AD139">
        <f t="shared" si="158"/>
        <v>2</v>
      </c>
      <c r="AE139">
        <f t="shared" si="158"/>
        <v>14</v>
      </c>
      <c r="AG139" s="4">
        <v>1992</v>
      </c>
      <c r="AH139">
        <f aca="true" t="shared" si="159" ref="AH139:AM139">AH13+AH34+AH55+AH97</f>
        <v>0</v>
      </c>
      <c r="AI139">
        <f t="shared" si="159"/>
        <v>0</v>
      </c>
      <c r="AJ139">
        <f t="shared" si="159"/>
        <v>0</v>
      </c>
      <c r="AK139">
        <f t="shared" si="159"/>
        <v>0</v>
      </c>
      <c r="AL139">
        <f t="shared" si="159"/>
        <v>0</v>
      </c>
      <c r="AM139">
        <f t="shared" si="159"/>
        <v>0</v>
      </c>
      <c r="AO139" s="4">
        <v>1992</v>
      </c>
    </row>
    <row r="140" spans="1:41" ht="12.75">
      <c r="A140" s="4">
        <v>1993</v>
      </c>
      <c r="B140">
        <f aca="true" t="shared" si="160" ref="B140:G145">B14+B35+B56+B98</f>
        <v>898</v>
      </c>
      <c r="C140">
        <f t="shared" si="160"/>
        <v>1328</v>
      </c>
      <c r="D140">
        <f t="shared" si="160"/>
        <v>791</v>
      </c>
      <c r="E140">
        <f t="shared" si="160"/>
        <v>699</v>
      </c>
      <c r="F140">
        <f t="shared" si="160"/>
        <v>1178</v>
      </c>
      <c r="G140">
        <f t="shared" si="160"/>
        <v>4894</v>
      </c>
      <c r="I140" s="4">
        <v>1993</v>
      </c>
      <c r="J140">
        <f aca="true" t="shared" si="161" ref="J140:O140">J14+J35+J56+J98</f>
        <v>1696</v>
      </c>
      <c r="K140">
        <f t="shared" si="161"/>
        <v>3095</v>
      </c>
      <c r="L140">
        <f t="shared" si="161"/>
        <v>1286</v>
      </c>
      <c r="M140">
        <f t="shared" si="161"/>
        <v>3259</v>
      </c>
      <c r="N140">
        <f t="shared" si="161"/>
        <v>1047</v>
      </c>
      <c r="O140">
        <f t="shared" si="161"/>
        <v>10383</v>
      </c>
      <c r="Q140" s="4">
        <v>1993</v>
      </c>
      <c r="R140">
        <f aca="true" t="shared" si="162" ref="R140:W140">R14+R35+R56+R98</f>
        <v>3</v>
      </c>
      <c r="S140">
        <f t="shared" si="162"/>
        <v>2</v>
      </c>
      <c r="T140">
        <f t="shared" si="162"/>
        <v>0</v>
      </c>
      <c r="U140">
        <f t="shared" si="162"/>
        <v>6</v>
      </c>
      <c r="V140">
        <f t="shared" si="162"/>
        <v>0</v>
      </c>
      <c r="W140">
        <f t="shared" si="162"/>
        <v>11</v>
      </c>
      <c r="Y140" s="4">
        <v>1993</v>
      </c>
      <c r="Z140">
        <f aca="true" t="shared" si="163" ref="Z140:AE140">Z14+Z35+Z56+Z98</f>
        <v>7</v>
      </c>
      <c r="AA140">
        <f t="shared" si="163"/>
        <v>2</v>
      </c>
      <c r="AB140">
        <f t="shared" si="163"/>
        <v>1</v>
      </c>
      <c r="AC140">
        <f t="shared" si="163"/>
        <v>0</v>
      </c>
      <c r="AD140">
        <f t="shared" si="163"/>
        <v>4</v>
      </c>
      <c r="AE140">
        <f t="shared" si="163"/>
        <v>14</v>
      </c>
      <c r="AG140" s="4">
        <v>1993</v>
      </c>
      <c r="AH140">
        <f aca="true" t="shared" si="164" ref="AH140:AM140">AH14+AH35+AH56+AH98</f>
        <v>26</v>
      </c>
      <c r="AI140">
        <f t="shared" si="164"/>
        <v>17</v>
      </c>
      <c r="AJ140">
        <f t="shared" si="164"/>
        <v>5</v>
      </c>
      <c r="AK140">
        <f t="shared" si="164"/>
        <v>39</v>
      </c>
      <c r="AL140">
        <f t="shared" si="164"/>
        <v>11</v>
      </c>
      <c r="AM140">
        <f t="shared" si="164"/>
        <v>98</v>
      </c>
      <c r="AO140" s="4">
        <v>1993</v>
      </c>
    </row>
    <row r="141" spans="1:41" ht="12.75">
      <c r="A141" s="4">
        <v>1994</v>
      </c>
      <c r="B141">
        <f t="shared" si="160"/>
        <v>967</v>
      </c>
      <c r="C141">
        <f t="shared" si="160"/>
        <v>1308</v>
      </c>
      <c r="D141">
        <f t="shared" si="160"/>
        <v>803</v>
      </c>
      <c r="E141">
        <f t="shared" si="160"/>
        <v>734</v>
      </c>
      <c r="F141">
        <f t="shared" si="160"/>
        <v>1207</v>
      </c>
      <c r="G141">
        <f t="shared" si="160"/>
        <v>5019</v>
      </c>
      <c r="I141" s="4">
        <v>1994</v>
      </c>
      <c r="J141">
        <f aca="true" t="shared" si="165" ref="J141:O141">J15+J36+J57+J99</f>
        <v>1614</v>
      </c>
      <c r="K141">
        <f t="shared" si="165"/>
        <v>2895</v>
      </c>
      <c r="L141">
        <f t="shared" si="165"/>
        <v>1286</v>
      </c>
      <c r="M141">
        <f t="shared" si="165"/>
        <v>3317</v>
      </c>
      <c r="N141">
        <f t="shared" si="165"/>
        <v>1061</v>
      </c>
      <c r="O141">
        <f t="shared" si="165"/>
        <v>10173</v>
      </c>
      <c r="Q141" s="4">
        <v>1994</v>
      </c>
      <c r="R141">
        <f aca="true" t="shared" si="166" ref="R141:W141">R15+R36+R57+R99</f>
        <v>7</v>
      </c>
      <c r="S141">
        <f t="shared" si="166"/>
        <v>5</v>
      </c>
      <c r="T141">
        <f t="shared" si="166"/>
        <v>0</v>
      </c>
      <c r="U141">
        <f t="shared" si="166"/>
        <v>3</v>
      </c>
      <c r="V141">
        <f t="shared" si="166"/>
        <v>0</v>
      </c>
      <c r="W141">
        <f t="shared" si="166"/>
        <v>15</v>
      </c>
      <c r="Y141" s="4">
        <v>1994</v>
      </c>
      <c r="Z141">
        <f aca="true" t="shared" si="167" ref="Z141:AE141">Z15+Z36+Z57+Z99</f>
        <v>5</v>
      </c>
      <c r="AA141">
        <f t="shared" si="167"/>
        <v>2</v>
      </c>
      <c r="AB141">
        <f t="shared" si="167"/>
        <v>1</v>
      </c>
      <c r="AC141">
        <f t="shared" si="167"/>
        <v>0</v>
      </c>
      <c r="AD141">
        <f t="shared" si="167"/>
        <v>1</v>
      </c>
      <c r="AE141">
        <f t="shared" si="167"/>
        <v>9</v>
      </c>
      <c r="AG141" s="4">
        <v>1994</v>
      </c>
      <c r="AH141">
        <f aca="true" t="shared" si="168" ref="AH141:AM141">AH15+AH36+AH57+AH99</f>
        <v>25</v>
      </c>
      <c r="AI141">
        <f t="shared" si="168"/>
        <v>28</v>
      </c>
      <c r="AJ141">
        <f t="shared" si="168"/>
        <v>11</v>
      </c>
      <c r="AK141">
        <f t="shared" si="168"/>
        <v>49</v>
      </c>
      <c r="AL141">
        <f t="shared" si="168"/>
        <v>19</v>
      </c>
      <c r="AM141">
        <f t="shared" si="168"/>
        <v>132</v>
      </c>
      <c r="AO141" s="4">
        <v>1994</v>
      </c>
    </row>
    <row r="142" spans="1:41" ht="12.75">
      <c r="A142" s="4">
        <v>1995</v>
      </c>
      <c r="B142">
        <f t="shared" si="160"/>
        <v>912</v>
      </c>
      <c r="C142">
        <f t="shared" si="160"/>
        <v>1145</v>
      </c>
      <c r="D142">
        <f t="shared" si="160"/>
        <v>823</v>
      </c>
      <c r="E142">
        <f t="shared" si="160"/>
        <v>826</v>
      </c>
      <c r="F142">
        <f t="shared" si="160"/>
        <v>1229</v>
      </c>
      <c r="G142">
        <f t="shared" si="160"/>
        <v>4935</v>
      </c>
      <c r="I142" s="4">
        <v>1995</v>
      </c>
      <c r="J142">
        <f aca="true" t="shared" si="169" ref="J142:O142">J16+J37+J58+J100</f>
        <v>1666</v>
      </c>
      <c r="K142">
        <f t="shared" si="169"/>
        <v>2625</v>
      </c>
      <c r="L142">
        <f t="shared" si="169"/>
        <v>1437</v>
      </c>
      <c r="M142">
        <f t="shared" si="169"/>
        <v>3466</v>
      </c>
      <c r="N142">
        <f t="shared" si="169"/>
        <v>1158</v>
      </c>
      <c r="O142">
        <f t="shared" si="169"/>
        <v>10352</v>
      </c>
      <c r="Q142" s="4">
        <v>1995</v>
      </c>
      <c r="R142">
        <f aca="true" t="shared" si="170" ref="R142:W142">R16+R37+R58+R100</f>
        <v>6</v>
      </c>
      <c r="S142">
        <f t="shared" si="170"/>
        <v>5</v>
      </c>
      <c r="T142">
        <f t="shared" si="170"/>
        <v>7</v>
      </c>
      <c r="U142">
        <f t="shared" si="170"/>
        <v>5</v>
      </c>
      <c r="V142">
        <f t="shared" si="170"/>
        <v>7</v>
      </c>
      <c r="W142">
        <f t="shared" si="170"/>
        <v>30</v>
      </c>
      <c r="Y142" s="4">
        <v>1995</v>
      </c>
      <c r="Z142">
        <f aca="true" t="shared" si="171" ref="Z142:AE142">Z16+Z37+Z58+Z100</f>
        <v>3</v>
      </c>
      <c r="AA142">
        <f t="shared" si="171"/>
        <v>0</v>
      </c>
      <c r="AB142">
        <f t="shared" si="171"/>
        <v>0</v>
      </c>
      <c r="AC142">
        <f t="shared" si="171"/>
        <v>0</v>
      </c>
      <c r="AD142">
        <f t="shared" si="171"/>
        <v>1</v>
      </c>
      <c r="AE142">
        <f t="shared" si="171"/>
        <v>4</v>
      </c>
      <c r="AG142" s="4">
        <v>1995</v>
      </c>
      <c r="AH142">
        <f aca="true" t="shared" si="172" ref="AH142:AM142">AH16+AH37+AH58+AH100</f>
        <v>25</v>
      </c>
      <c r="AI142">
        <f t="shared" si="172"/>
        <v>17</v>
      </c>
      <c r="AJ142">
        <f t="shared" si="172"/>
        <v>6</v>
      </c>
      <c r="AK142">
        <f t="shared" si="172"/>
        <v>25</v>
      </c>
      <c r="AL142">
        <f t="shared" si="172"/>
        <v>12</v>
      </c>
      <c r="AM142">
        <f t="shared" si="172"/>
        <v>85</v>
      </c>
      <c r="AO142" s="4">
        <v>1995</v>
      </c>
    </row>
    <row r="143" spans="1:41" ht="12.75">
      <c r="A143" s="4">
        <v>1996</v>
      </c>
      <c r="B143">
        <f t="shared" si="160"/>
        <v>942</v>
      </c>
      <c r="C143">
        <f t="shared" si="160"/>
        <v>1263</v>
      </c>
      <c r="D143">
        <f t="shared" si="160"/>
        <v>858</v>
      </c>
      <c r="E143">
        <f t="shared" si="160"/>
        <v>892</v>
      </c>
      <c r="F143">
        <f t="shared" si="160"/>
        <v>1104</v>
      </c>
      <c r="G143">
        <f t="shared" si="160"/>
        <v>5059</v>
      </c>
      <c r="I143" s="4">
        <v>1996</v>
      </c>
      <c r="J143">
        <f aca="true" t="shared" si="173" ref="J143:O143">J17+J38+J59+J101</f>
        <v>1655</v>
      </c>
      <c r="K143">
        <f t="shared" si="173"/>
        <v>2444</v>
      </c>
      <c r="L143">
        <f t="shared" si="173"/>
        <v>1409</v>
      </c>
      <c r="M143">
        <f t="shared" si="173"/>
        <v>3285</v>
      </c>
      <c r="N143">
        <f t="shared" si="173"/>
        <v>1031</v>
      </c>
      <c r="O143">
        <f t="shared" si="173"/>
        <v>9824</v>
      </c>
      <c r="Q143" s="4">
        <v>1996</v>
      </c>
      <c r="R143">
        <f aca="true" t="shared" si="174" ref="R143:W143">R17+R38+R59+R101</f>
        <v>4</v>
      </c>
      <c r="S143">
        <f t="shared" si="174"/>
        <v>6</v>
      </c>
      <c r="T143">
        <f t="shared" si="174"/>
        <v>2</v>
      </c>
      <c r="U143">
        <f t="shared" si="174"/>
        <v>6</v>
      </c>
      <c r="V143">
        <f t="shared" si="174"/>
        <v>4</v>
      </c>
      <c r="W143">
        <f t="shared" si="174"/>
        <v>22</v>
      </c>
      <c r="Y143" s="4">
        <v>1996</v>
      </c>
      <c r="Z143">
        <f aca="true" t="shared" si="175" ref="Z143:AE143">Z17+Z38+Z59+Z101</f>
        <v>7</v>
      </c>
      <c r="AA143">
        <f t="shared" si="175"/>
        <v>4</v>
      </c>
      <c r="AB143">
        <f t="shared" si="175"/>
        <v>0</v>
      </c>
      <c r="AC143">
        <f t="shared" si="175"/>
        <v>1</v>
      </c>
      <c r="AD143">
        <f t="shared" si="175"/>
        <v>1</v>
      </c>
      <c r="AE143">
        <f t="shared" si="175"/>
        <v>13</v>
      </c>
      <c r="AG143" s="4">
        <v>1996</v>
      </c>
      <c r="AH143">
        <f aca="true" t="shared" si="176" ref="AH143:AM143">AH17+AH38+AH59+AH101</f>
        <v>18</v>
      </c>
      <c r="AI143">
        <f t="shared" si="176"/>
        <v>7</v>
      </c>
      <c r="AJ143">
        <f t="shared" si="176"/>
        <v>10</v>
      </c>
      <c r="AK143">
        <f t="shared" si="176"/>
        <v>48</v>
      </c>
      <c r="AL143">
        <f t="shared" si="176"/>
        <v>23</v>
      </c>
      <c r="AM143">
        <f t="shared" si="176"/>
        <v>106</v>
      </c>
      <c r="AO143" s="4">
        <v>1996</v>
      </c>
    </row>
    <row r="144" spans="1:41" ht="12.75">
      <c r="A144" s="4">
        <v>1997</v>
      </c>
      <c r="B144">
        <f t="shared" si="160"/>
        <v>0</v>
      </c>
      <c r="C144">
        <f t="shared" si="160"/>
        <v>0</v>
      </c>
      <c r="D144">
        <f t="shared" si="160"/>
        <v>0</v>
      </c>
      <c r="E144">
        <f t="shared" si="160"/>
        <v>0</v>
      </c>
      <c r="F144">
        <f t="shared" si="160"/>
        <v>0</v>
      </c>
      <c r="G144">
        <f t="shared" si="160"/>
        <v>0</v>
      </c>
      <c r="I144" s="4">
        <v>1997</v>
      </c>
      <c r="J144">
        <f aca="true" t="shared" si="177" ref="J144:O144">J18+J39+J60+J102</f>
        <v>0</v>
      </c>
      <c r="K144">
        <f t="shared" si="177"/>
        <v>0</v>
      </c>
      <c r="L144">
        <f t="shared" si="177"/>
        <v>0</v>
      </c>
      <c r="M144">
        <f t="shared" si="177"/>
        <v>0</v>
      </c>
      <c r="N144">
        <f t="shared" si="177"/>
        <v>0</v>
      </c>
      <c r="O144">
        <f t="shared" si="177"/>
        <v>0</v>
      </c>
      <c r="Q144" s="4">
        <v>1997</v>
      </c>
      <c r="R144">
        <f aca="true" t="shared" si="178" ref="R144:W144">R18+R39+R60+R102</f>
        <v>0</v>
      </c>
      <c r="S144">
        <f t="shared" si="178"/>
        <v>0</v>
      </c>
      <c r="T144">
        <f t="shared" si="178"/>
        <v>0</v>
      </c>
      <c r="U144">
        <f t="shared" si="178"/>
        <v>0</v>
      </c>
      <c r="V144">
        <f t="shared" si="178"/>
        <v>0</v>
      </c>
      <c r="W144">
        <f t="shared" si="178"/>
        <v>0</v>
      </c>
      <c r="Y144" s="4">
        <v>1997</v>
      </c>
      <c r="Z144">
        <f aca="true" t="shared" si="179" ref="Z144:AE144">Z18+Z39+Z60+Z102</f>
        <v>0</v>
      </c>
      <c r="AA144">
        <f t="shared" si="179"/>
        <v>0</v>
      </c>
      <c r="AB144">
        <f t="shared" si="179"/>
        <v>0</v>
      </c>
      <c r="AC144">
        <f t="shared" si="179"/>
        <v>0</v>
      </c>
      <c r="AD144">
        <f t="shared" si="179"/>
        <v>0</v>
      </c>
      <c r="AE144">
        <f t="shared" si="179"/>
        <v>0</v>
      </c>
      <c r="AG144" s="4">
        <v>1997</v>
      </c>
      <c r="AH144">
        <f aca="true" t="shared" si="180" ref="AH144:AM144">AH18+AH39+AH60+AH102</f>
        <v>0</v>
      </c>
      <c r="AI144">
        <f t="shared" si="180"/>
        <v>0</v>
      </c>
      <c r="AJ144">
        <f t="shared" si="180"/>
        <v>0</v>
      </c>
      <c r="AK144">
        <f t="shared" si="180"/>
        <v>0</v>
      </c>
      <c r="AL144">
        <f t="shared" si="180"/>
        <v>0</v>
      </c>
      <c r="AM144">
        <f t="shared" si="180"/>
        <v>0</v>
      </c>
      <c r="AO144" s="4">
        <v>1997</v>
      </c>
    </row>
    <row r="145" spans="1:41" ht="12.75">
      <c r="A145" s="4">
        <v>1998</v>
      </c>
      <c r="B145">
        <f t="shared" si="160"/>
        <v>915</v>
      </c>
      <c r="C145">
        <f t="shared" si="160"/>
        <v>1336</v>
      </c>
      <c r="D145">
        <f t="shared" si="160"/>
        <v>1051</v>
      </c>
      <c r="E145">
        <f t="shared" si="160"/>
        <v>936</v>
      </c>
      <c r="F145">
        <f t="shared" si="160"/>
        <v>1039</v>
      </c>
      <c r="G145">
        <f t="shared" si="160"/>
        <v>5277</v>
      </c>
      <c r="I145" s="4">
        <v>1998</v>
      </c>
      <c r="J145">
        <f aca="true" t="shared" si="181" ref="J145:O145">J19+J40+J61+J103</f>
        <v>1585</v>
      </c>
      <c r="K145">
        <f t="shared" si="181"/>
        <v>2375</v>
      </c>
      <c r="L145">
        <f t="shared" si="181"/>
        <v>1743</v>
      </c>
      <c r="M145">
        <f t="shared" si="181"/>
        <v>3274</v>
      </c>
      <c r="N145">
        <f t="shared" si="181"/>
        <v>978</v>
      </c>
      <c r="O145">
        <f t="shared" si="181"/>
        <v>9955</v>
      </c>
      <c r="Q145" s="4">
        <v>1998</v>
      </c>
      <c r="R145">
        <f aca="true" t="shared" si="182" ref="R145:W145">R19+R40+R61+R103</f>
        <v>10</v>
      </c>
      <c r="S145">
        <f t="shared" si="182"/>
        <v>5</v>
      </c>
      <c r="T145">
        <f t="shared" si="182"/>
        <v>4</v>
      </c>
      <c r="U145">
        <f t="shared" si="182"/>
        <v>6</v>
      </c>
      <c r="V145">
        <f t="shared" si="182"/>
        <v>4</v>
      </c>
      <c r="W145">
        <f t="shared" si="182"/>
        <v>29</v>
      </c>
      <c r="Y145" s="4">
        <v>1998</v>
      </c>
      <c r="Z145">
        <f aca="true" t="shared" si="183" ref="Z145:AE145">Z19+Z40+Z61+Z103</f>
        <v>4</v>
      </c>
      <c r="AA145">
        <f t="shared" si="183"/>
        <v>1</v>
      </c>
      <c r="AB145">
        <f t="shared" si="183"/>
        <v>3</v>
      </c>
      <c r="AC145">
        <f t="shared" si="183"/>
        <v>2</v>
      </c>
      <c r="AD145">
        <f t="shared" si="183"/>
        <v>1</v>
      </c>
      <c r="AE145">
        <f t="shared" si="183"/>
        <v>11</v>
      </c>
      <c r="AG145" s="4">
        <v>1998</v>
      </c>
      <c r="AH145">
        <f aca="true" t="shared" si="184" ref="AH145:AM145">AH19+AH40+AH61+AH103</f>
        <v>38</v>
      </c>
      <c r="AI145">
        <f t="shared" si="184"/>
        <v>25</v>
      </c>
      <c r="AJ145">
        <f t="shared" si="184"/>
        <v>7</v>
      </c>
      <c r="AK145">
        <f t="shared" si="184"/>
        <v>51</v>
      </c>
      <c r="AL145">
        <f t="shared" si="184"/>
        <v>13</v>
      </c>
      <c r="AM145">
        <f t="shared" si="184"/>
        <v>134</v>
      </c>
      <c r="AO145" s="4">
        <v>1998</v>
      </c>
    </row>
    <row r="146" spans="1:41" ht="12.75">
      <c r="A146" s="4">
        <v>1999</v>
      </c>
      <c r="B146">
        <f aca="true" t="shared" si="185" ref="B146:G146">B20+B41+B62+B104</f>
        <v>1129</v>
      </c>
      <c r="C146">
        <f t="shared" si="185"/>
        <v>1468</v>
      </c>
      <c r="D146">
        <f t="shared" si="185"/>
        <v>1486</v>
      </c>
      <c r="E146">
        <f t="shared" si="185"/>
        <v>1274</v>
      </c>
      <c r="F146">
        <f t="shared" si="185"/>
        <v>1502</v>
      </c>
      <c r="G146">
        <f t="shared" si="185"/>
        <v>6859</v>
      </c>
      <c r="I146" s="4">
        <v>1999</v>
      </c>
      <c r="J146">
        <f aca="true" t="shared" si="186" ref="J146:O146">J20+J41+J62+J104</f>
        <v>1919</v>
      </c>
      <c r="K146">
        <f t="shared" si="186"/>
        <v>2839</v>
      </c>
      <c r="L146">
        <f t="shared" si="186"/>
        <v>2432</v>
      </c>
      <c r="M146">
        <f t="shared" si="186"/>
        <v>4862</v>
      </c>
      <c r="N146">
        <f t="shared" si="186"/>
        <v>1413</v>
      </c>
      <c r="O146">
        <f t="shared" si="186"/>
        <v>13465</v>
      </c>
      <c r="Q146" s="4">
        <v>1999</v>
      </c>
      <c r="R146">
        <f aca="true" t="shared" si="187" ref="R146:W146">R20+R41+R62+R104</f>
        <v>4</v>
      </c>
      <c r="S146">
        <f t="shared" si="187"/>
        <v>4</v>
      </c>
      <c r="T146">
        <f t="shared" si="187"/>
        <v>2</v>
      </c>
      <c r="U146">
        <f t="shared" si="187"/>
        <v>3</v>
      </c>
      <c r="V146">
        <f t="shared" si="187"/>
        <v>2</v>
      </c>
      <c r="W146">
        <f t="shared" si="187"/>
        <v>15</v>
      </c>
      <c r="Y146" s="4">
        <v>1999</v>
      </c>
      <c r="Z146">
        <f aca="true" t="shared" si="188" ref="Z146:AE146">Z20+Z41+Z62+Z104</f>
        <v>8</v>
      </c>
      <c r="AA146">
        <f t="shared" si="188"/>
        <v>3</v>
      </c>
      <c r="AB146">
        <f t="shared" si="188"/>
        <v>4</v>
      </c>
      <c r="AC146">
        <f t="shared" si="188"/>
        <v>0</v>
      </c>
      <c r="AD146">
        <f t="shared" si="188"/>
        <v>5</v>
      </c>
      <c r="AE146">
        <f t="shared" si="188"/>
        <v>20</v>
      </c>
      <c r="AG146" s="4">
        <v>1999</v>
      </c>
      <c r="AH146">
        <f aca="true" t="shared" si="189" ref="AH146:AM146">AH20+AH41+AH62+AH104</f>
        <v>56</v>
      </c>
      <c r="AI146">
        <f t="shared" si="189"/>
        <v>13</v>
      </c>
      <c r="AJ146">
        <f t="shared" si="189"/>
        <v>18</v>
      </c>
      <c r="AK146">
        <f t="shared" si="189"/>
        <v>132</v>
      </c>
      <c r="AL146">
        <f t="shared" si="189"/>
        <v>30</v>
      </c>
      <c r="AM146">
        <f t="shared" si="189"/>
        <v>249</v>
      </c>
      <c r="AO146" s="4">
        <v>1999</v>
      </c>
    </row>
    <row r="147" spans="1:41" ht="12.75">
      <c r="A147" s="4" t="s">
        <v>13</v>
      </c>
      <c r="B147">
        <f aca="true" t="shared" si="190" ref="B147:G147">B21+B42+B63+B105</f>
        <v>11990</v>
      </c>
      <c r="C147">
        <f t="shared" si="190"/>
        <v>19272</v>
      </c>
      <c r="D147">
        <f t="shared" si="190"/>
        <v>12489</v>
      </c>
      <c r="E147">
        <f t="shared" si="190"/>
        <v>11375</v>
      </c>
      <c r="F147">
        <f t="shared" si="190"/>
        <v>25573</v>
      </c>
      <c r="G147">
        <f t="shared" si="190"/>
        <v>80699</v>
      </c>
      <c r="I147" s="4" t="s">
        <v>13</v>
      </c>
      <c r="J147">
        <f aca="true" t="shared" si="191" ref="J147:O147">J21+J42+J63+J105</f>
        <v>20284</v>
      </c>
      <c r="K147">
        <f t="shared" si="191"/>
        <v>38115</v>
      </c>
      <c r="L147">
        <f t="shared" si="191"/>
        <v>19843</v>
      </c>
      <c r="M147">
        <f t="shared" si="191"/>
        <v>39756</v>
      </c>
      <c r="N147">
        <f t="shared" si="191"/>
        <v>26561</v>
      </c>
      <c r="O147">
        <f t="shared" si="191"/>
        <v>144559</v>
      </c>
      <c r="Q147" s="4" t="s">
        <v>13</v>
      </c>
      <c r="R147">
        <f aca="true" t="shared" si="192" ref="R147:W147">R21+R42+R63+R105</f>
        <v>42</v>
      </c>
      <c r="S147">
        <f t="shared" si="192"/>
        <v>38</v>
      </c>
      <c r="T147">
        <f t="shared" si="192"/>
        <v>19</v>
      </c>
      <c r="U147">
        <f t="shared" si="192"/>
        <v>36</v>
      </c>
      <c r="V147">
        <f t="shared" si="192"/>
        <v>24</v>
      </c>
      <c r="W147">
        <f t="shared" si="192"/>
        <v>159</v>
      </c>
      <c r="Y147" s="4" t="s">
        <v>13</v>
      </c>
      <c r="Z147">
        <f aca="true" t="shared" si="193" ref="Z147:AE147">Z21+Z42+Z63+Z105</f>
        <v>39</v>
      </c>
      <c r="AA147">
        <f t="shared" si="193"/>
        <v>23</v>
      </c>
      <c r="AB147">
        <f t="shared" si="193"/>
        <v>12</v>
      </c>
      <c r="AC147">
        <f t="shared" si="193"/>
        <v>7</v>
      </c>
      <c r="AD147">
        <f t="shared" si="193"/>
        <v>15</v>
      </c>
      <c r="AE147">
        <f t="shared" si="193"/>
        <v>84</v>
      </c>
      <c r="AG147" s="4" t="s">
        <v>13</v>
      </c>
      <c r="AH147">
        <f aca="true" t="shared" si="194" ref="AH147:AM147">AH21+AH42+AH63+AH105</f>
        <v>265</v>
      </c>
      <c r="AI147">
        <f t="shared" si="194"/>
        <v>180</v>
      </c>
      <c r="AJ147">
        <f t="shared" si="194"/>
        <v>87</v>
      </c>
      <c r="AK147">
        <f t="shared" si="194"/>
        <v>524</v>
      </c>
      <c r="AL147">
        <f t="shared" si="194"/>
        <v>192</v>
      </c>
      <c r="AM147">
        <f t="shared" si="194"/>
        <v>1137</v>
      </c>
      <c r="AO147" s="4" t="s">
        <v>13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s="2"/>
      <c r="C1" s="2"/>
      <c r="D1" s="2"/>
      <c r="E1" s="2"/>
      <c r="F1" s="2"/>
      <c r="G1" s="2"/>
    </row>
    <row r="2" spans="1:7" ht="12.75">
      <c r="A2" s="2"/>
      <c r="E2" s="2"/>
      <c r="F2" s="2"/>
      <c r="G2" s="2"/>
    </row>
    <row r="3" spans="1:7" ht="12.75">
      <c r="A3" s="2"/>
      <c r="C3" s="2"/>
      <c r="D3" s="2"/>
      <c r="E3" s="2"/>
      <c r="F3" s="2"/>
      <c r="G3" s="2"/>
    </row>
    <row r="4" spans="1:7" ht="12.75">
      <c r="A4" s="2"/>
      <c r="D4" s="2"/>
      <c r="E4" s="2"/>
      <c r="F4" s="2"/>
      <c r="G4" s="2"/>
    </row>
    <row r="5" spans="1:7" ht="12.75">
      <c r="A5" s="2"/>
      <c r="D5" s="2"/>
      <c r="E5" s="2"/>
      <c r="F5" s="2"/>
      <c r="G5" s="2"/>
    </row>
    <row r="6" spans="1:7" ht="12.75">
      <c r="A6" s="2"/>
      <c r="D6" s="2"/>
      <c r="E6" s="2"/>
      <c r="F6" s="2"/>
      <c r="G6" s="2"/>
    </row>
    <row r="7" spans="1:7" ht="12.75">
      <c r="A7" s="2"/>
      <c r="D7" s="2"/>
      <c r="E7" s="2"/>
      <c r="F7" s="2"/>
      <c r="G7" s="2"/>
    </row>
    <row r="8" spans="1:7" ht="12.75">
      <c r="A8" s="2"/>
      <c r="D8" s="2"/>
      <c r="E8" s="2"/>
      <c r="F8" s="2"/>
      <c r="G8" s="2"/>
    </row>
    <row r="9" spans="1:7" ht="12.75">
      <c r="A9" s="2"/>
      <c r="D9" s="2"/>
      <c r="E9" s="2"/>
      <c r="F9" s="2"/>
      <c r="G9" s="2"/>
    </row>
    <row r="10" spans="1:7" ht="12.75">
      <c r="A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2003-05-14T19:45:44Z</dcterms:modified>
  <cp:category/>
  <cp:version/>
  <cp:contentType/>
  <cp:contentStatus/>
</cp:coreProperties>
</file>